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updateLinks="never" codeName="ThisWorkbook"/>
  <mc:AlternateContent xmlns:mc="http://schemas.openxmlformats.org/markup-compatibility/2006">
    <mc:Choice Requires="x15">
      <x15ac:absPath xmlns:x15ac="http://schemas.microsoft.com/office/spreadsheetml/2010/11/ac" url="/Users/ben/Dropbox/Hit Labs/Compliance/Customer Accessible Documents/"/>
    </mc:Choice>
  </mc:AlternateContent>
  <xr:revisionPtr revIDLastSave="0" documentId="13_ncr:1_{7EEF39B3-29C9-794E-846C-DB0DCCC641D9}" xr6:coauthVersionLast="46" xr6:coauthVersionMax="46" xr10:uidLastSave="{00000000-0000-0000-0000-000000000000}"/>
  <bookViews>
    <workbookView xWindow="4540" yWindow="500" windowWidth="27900" windowHeight="26960" tabRatio="934"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10"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91029"/>
  <pivotCaches>
    <pivotCache cacheId="37"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5" i="1" l="1"/>
  <c r="E200" i="1"/>
  <c r="E99" i="1"/>
  <c r="E44" i="1"/>
  <c r="E43" i="1"/>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H68" i="14" s="1"/>
  <c r="A68" i="14"/>
  <c r="B68" i="14"/>
  <c r="D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A46" i="1"/>
  <c r="A51" i="1"/>
  <c r="A61" i="1"/>
  <c r="A79" i="1"/>
  <c r="E24" i="1"/>
  <c r="E25" i="1"/>
  <c r="E26" i="1"/>
  <c r="E27" i="1"/>
  <c r="E28" i="1"/>
  <c r="E29" i="1"/>
  <c r="E30" i="1"/>
  <c r="E32" i="1"/>
  <c r="E33" i="1"/>
  <c r="E34" i="1"/>
  <c r="E35" i="1"/>
  <c r="E36" i="1"/>
  <c r="E37" i="1"/>
  <c r="E41" i="1"/>
  <c r="E42"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6" i="1"/>
  <c r="E188" i="1"/>
  <c r="E189" i="1"/>
  <c r="E190" i="1"/>
  <c r="E191" i="1"/>
  <c r="A192" i="1"/>
  <c r="E193" i="1"/>
  <c r="E194" i="1"/>
  <c r="E196" i="1"/>
  <c r="E197" i="1"/>
  <c r="E198" i="1"/>
  <c r="E199"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E264" i="13" s="1"/>
  <c r="I265" i="13"/>
  <c r="J265" i="13" s="1"/>
  <c r="K265" i="13"/>
  <c r="E265" i="13" s="1"/>
  <c r="I266" i="13"/>
  <c r="J266" i="13" s="1"/>
  <c r="L266" i="13" s="1"/>
  <c r="K266" i="13"/>
  <c r="I267" i="13"/>
  <c r="J267" i="13" s="1"/>
  <c r="L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L7" i="13" s="1"/>
  <c r="K5" i="13"/>
  <c r="L5" i="13" s="1"/>
  <c r="K4" i="13"/>
  <c r="L4" i="13" s="1"/>
  <c r="K3" i="13"/>
  <c r="L3" i="13" s="1"/>
  <c r="K2" i="13"/>
  <c r="L2" i="13" s="1"/>
  <c r="A38" i="14"/>
  <c r="A39" i="14"/>
  <c r="A40" i="14"/>
  <c r="J35" i="13"/>
  <c r="L35" i="13" s="1"/>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s="1"/>
  <c r="H222" i="15" s="1"/>
  <c r="A221" i="15"/>
  <c r="G221" i="15" s="1"/>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N18" i="13" s="1"/>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19"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I4" i="13"/>
  <c r="I5" i="13"/>
  <c r="T18" i="13" s="1"/>
  <c r="C29" i="14" s="1"/>
  <c r="I7" i="13"/>
  <c r="T19" i="13" s="1"/>
  <c r="C30" i="14" s="1"/>
  <c r="I8" i="13"/>
  <c r="W20" i="13" s="1"/>
  <c r="E31" i="14" s="1"/>
  <c r="C26" i="13"/>
  <c r="C16" i="13"/>
  <c r="D16" i="13"/>
  <c r="D17" i="13"/>
  <c r="C18" i="13"/>
  <c r="D18" i="13"/>
  <c r="M18" i="13"/>
  <c r="I17" i="13"/>
  <c r="N17" i="13"/>
  <c r="O17" i="13"/>
  <c r="Q17" i="13"/>
  <c r="R17" i="13"/>
  <c r="D19" i="13"/>
  <c r="I19" i="13"/>
  <c r="M19" i="13"/>
  <c r="N19" i="13"/>
  <c r="P19" i="13"/>
  <c r="Q19" i="13"/>
  <c r="D20" i="13"/>
  <c r="I16" i="13"/>
  <c r="M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T16" i="13"/>
  <c r="C27" i="14" s="1"/>
  <c r="I20" i="13" l="1"/>
  <c r="J20" i="13" s="1"/>
  <c r="L264" i="13"/>
  <c r="N16" i="13"/>
  <c r="M17" i="13"/>
  <c r="S18" i="13"/>
  <c r="R18" i="13"/>
  <c r="S21" i="13"/>
  <c r="R250" i="13"/>
  <c r="R20" i="13"/>
  <c r="Q18" i="13"/>
  <c r="S52" i="13"/>
  <c r="P18" i="13"/>
  <c r="R19" i="13"/>
  <c r="H88" i="14"/>
  <c r="I147" i="13"/>
  <c r="J147" i="13" s="1"/>
  <c r="L147" i="13" s="1"/>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L64" i="13" s="1"/>
  <c r="I104" i="13"/>
  <c r="J104" i="13" s="1"/>
  <c r="L104" i="13" s="1"/>
  <c r="I134" i="13"/>
  <c r="J134" i="13" s="1"/>
  <c r="I148" i="13"/>
  <c r="J148" i="13" s="1"/>
  <c r="I175" i="13"/>
  <c r="J175" i="13" s="1"/>
  <c r="L175" i="13" s="1"/>
  <c r="I192" i="13"/>
  <c r="J192" i="13" s="1"/>
  <c r="L192" i="13" s="1"/>
  <c r="I210" i="13"/>
  <c r="H211" i="13" s="1"/>
  <c r="I215" i="13"/>
  <c r="I110" i="13"/>
  <c r="J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L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L188" i="13" s="1"/>
  <c r="I168" i="13"/>
  <c r="J168" i="13" s="1"/>
  <c r="L168" i="13" s="1"/>
  <c r="I119" i="13"/>
  <c r="J119" i="13" s="1"/>
  <c r="L119" i="13" s="1"/>
  <c r="I209" i="13"/>
  <c r="J209" i="13" s="1"/>
  <c r="L209" i="13" s="1"/>
  <c r="I25" i="13"/>
  <c r="I26" i="13" s="1"/>
  <c r="J26" i="13" s="1"/>
  <c r="C185" i="13"/>
  <c r="I131" i="13"/>
  <c r="C33" i="13"/>
  <c r="I200" i="13"/>
  <c r="J200" i="13" s="1"/>
  <c r="L200" i="13" s="1"/>
  <c r="I184" i="13"/>
  <c r="J184" i="13" s="1"/>
  <c r="L184" i="13" s="1"/>
  <c r="I162" i="13"/>
  <c r="J162" i="13" s="1"/>
  <c r="L162" i="13" s="1"/>
  <c r="I144" i="13"/>
  <c r="J144" i="13" s="1"/>
  <c r="L144" i="13" s="1"/>
  <c r="I115" i="13"/>
  <c r="J115" i="13" s="1"/>
  <c r="L115" i="13" s="1"/>
  <c r="I72" i="13"/>
  <c r="J72" i="13" s="1"/>
  <c r="L72" i="13" s="1"/>
  <c r="I24" i="13"/>
  <c r="J24" i="13" s="1"/>
  <c r="L24" i="13" s="1"/>
  <c r="I22" i="13"/>
  <c r="J22" i="13" s="1"/>
  <c r="L22" i="13" s="1"/>
  <c r="C214" i="13"/>
  <c r="C20" i="13"/>
  <c r="C19" i="13"/>
  <c r="I18" i="13"/>
  <c r="C17" i="13"/>
  <c r="D26" i="13"/>
  <c r="I207" i="13"/>
  <c r="J207" i="13" s="1"/>
  <c r="L207" i="13" s="1"/>
  <c r="I198" i="13"/>
  <c r="J198" i="13" s="1"/>
  <c r="L198" i="13" s="1"/>
  <c r="I190" i="13"/>
  <c r="J190" i="13" s="1"/>
  <c r="L190" i="13" s="1"/>
  <c r="I182" i="13"/>
  <c r="J182" i="13" s="1"/>
  <c r="L182" i="13" s="1"/>
  <c r="I171" i="13"/>
  <c r="J171" i="13" s="1"/>
  <c r="L171" i="13" s="1"/>
  <c r="I158" i="13"/>
  <c r="J158" i="13" s="1"/>
  <c r="L158" i="13" s="1"/>
  <c r="I121" i="13"/>
  <c r="J121" i="13" s="1"/>
  <c r="L121" i="13" s="1"/>
  <c r="I113" i="13"/>
  <c r="J113" i="13" s="1"/>
  <c r="L113" i="13" s="1"/>
  <c r="I66" i="13"/>
  <c r="J66" i="13" s="1"/>
  <c r="L66" i="13" s="1"/>
  <c r="I57" i="13"/>
  <c r="J57" i="13" s="1"/>
  <c r="L57" i="13" s="1"/>
  <c r="I133" i="13"/>
  <c r="H134" i="13" s="1"/>
  <c r="K134" i="13" s="1"/>
  <c r="E134" i="13" s="1"/>
  <c r="I112" i="13"/>
  <c r="J112" i="13" s="1"/>
  <c r="L112" i="13" s="1"/>
  <c r="I203" i="13"/>
  <c r="J203" i="13" s="1"/>
  <c r="L203" i="13" s="1"/>
  <c r="I194" i="13"/>
  <c r="J194" i="13" s="1"/>
  <c r="L194" i="13" s="1"/>
  <c r="I186" i="13"/>
  <c r="J186" i="13" s="1"/>
  <c r="L186" i="13" s="1"/>
  <c r="I177" i="13"/>
  <c r="J177" i="13" s="1"/>
  <c r="L177" i="13" s="1"/>
  <c r="I166" i="13"/>
  <c r="J166" i="13" s="1"/>
  <c r="L166" i="13" s="1"/>
  <c r="I155" i="13"/>
  <c r="J155" i="13" s="1"/>
  <c r="L155" i="13" s="1"/>
  <c r="I117" i="13"/>
  <c r="J117" i="13" s="1"/>
  <c r="L117" i="13" s="1"/>
  <c r="I108" i="13"/>
  <c r="J108" i="13" s="1"/>
  <c r="L108" i="13" s="1"/>
  <c r="I70" i="13"/>
  <c r="J70" i="13" s="1"/>
  <c r="L70" i="13" s="1"/>
  <c r="I60" i="13"/>
  <c r="J60" i="13" s="1"/>
  <c r="L60"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L251" i="13" s="1"/>
  <c r="I249" i="13"/>
  <c r="J249" i="13" s="1"/>
  <c r="L249" i="13" s="1"/>
  <c r="I247" i="13"/>
  <c r="J247" i="13" s="1"/>
  <c r="L247" i="13" s="1"/>
  <c r="I245" i="13"/>
  <c r="J245" i="13" s="1"/>
  <c r="L245" i="13" s="1"/>
  <c r="I243" i="13"/>
  <c r="J243" i="13" s="1"/>
  <c r="L243" i="13" s="1"/>
  <c r="I240" i="13"/>
  <c r="J240" i="13" s="1"/>
  <c r="L240" i="13" s="1"/>
  <c r="I238" i="13"/>
  <c r="J238" i="13" s="1"/>
  <c r="L238" i="13" s="1"/>
  <c r="I236" i="13"/>
  <c r="J236" i="13" s="1"/>
  <c r="L236" i="13" s="1"/>
  <c r="I234" i="13"/>
  <c r="J234" i="13" s="1"/>
  <c r="L234" i="13" s="1"/>
  <c r="I232" i="13"/>
  <c r="J232" i="13" s="1"/>
  <c r="L232" i="13" s="1"/>
  <c r="I230" i="13"/>
  <c r="J230" i="13" s="1"/>
  <c r="L230" i="13" s="1"/>
  <c r="I228" i="13"/>
  <c r="J228" i="13" s="1"/>
  <c r="L228" i="13" s="1"/>
  <c r="I226" i="13"/>
  <c r="J226" i="13" s="1"/>
  <c r="L226" i="13" s="1"/>
  <c r="I224" i="13"/>
  <c r="J224" i="13" s="1"/>
  <c r="L224" i="13" s="1"/>
  <c r="I222" i="13"/>
  <c r="J222" i="13" s="1"/>
  <c r="L222" i="13" s="1"/>
  <c r="I220" i="13"/>
  <c r="J220" i="13" s="1"/>
  <c r="L220" i="13" s="1"/>
  <c r="I218" i="13"/>
  <c r="J218" i="13" s="1"/>
  <c r="L218" i="13" s="1"/>
  <c r="I214" i="13"/>
  <c r="J214" i="13" s="1"/>
  <c r="L214" i="13" s="1"/>
  <c r="I212" i="13"/>
  <c r="J212" i="13" s="1"/>
  <c r="L212" i="13" s="1"/>
  <c r="I157" i="13"/>
  <c r="J157" i="13" s="1"/>
  <c r="L157" i="13" s="1"/>
  <c r="I154" i="13"/>
  <c r="J154" i="13" s="1"/>
  <c r="L154" i="13" s="1"/>
  <c r="I150" i="13"/>
  <c r="J150" i="13" s="1"/>
  <c r="L150" i="13" s="1"/>
  <c r="I143" i="13"/>
  <c r="J143" i="13" s="1"/>
  <c r="I141" i="13"/>
  <c r="J141" i="13" s="1"/>
  <c r="L141" i="13" s="1"/>
  <c r="I139" i="13"/>
  <c r="J139" i="13" s="1"/>
  <c r="L139" i="13" s="1"/>
  <c r="I130" i="13"/>
  <c r="J130" i="13" s="1"/>
  <c r="L130" i="13" s="1"/>
  <c r="I100" i="13"/>
  <c r="J100" i="13" s="1"/>
  <c r="L100" i="13" s="1"/>
  <c r="I98" i="13"/>
  <c r="J98" i="13" s="1"/>
  <c r="L98" i="13" s="1"/>
  <c r="I95" i="13"/>
  <c r="J95" i="13" s="1"/>
  <c r="L95" i="13" s="1"/>
  <c r="I93" i="13"/>
  <c r="J93" i="13" s="1"/>
  <c r="L93" i="13" s="1"/>
  <c r="I91" i="13"/>
  <c r="J91" i="13" s="1"/>
  <c r="L91" i="13" s="1"/>
  <c r="I89" i="13"/>
  <c r="J89" i="13" s="1"/>
  <c r="L89" i="13" s="1"/>
  <c r="I87" i="13"/>
  <c r="J87" i="13" s="1"/>
  <c r="L87" i="13" s="1"/>
  <c r="I85" i="13"/>
  <c r="J85" i="13" s="1"/>
  <c r="L85" i="13" s="1"/>
  <c r="I83" i="13"/>
  <c r="J83" i="13" s="1"/>
  <c r="L83" i="13" s="1"/>
  <c r="I81" i="13"/>
  <c r="J81" i="13" s="1"/>
  <c r="L81" i="13" s="1"/>
  <c r="I77" i="13"/>
  <c r="J77" i="13" s="1"/>
  <c r="L77" i="13" s="1"/>
  <c r="I74" i="13"/>
  <c r="J74" i="13" s="1"/>
  <c r="L74" i="13" s="1"/>
  <c r="I59" i="13"/>
  <c r="J59" i="13" s="1"/>
  <c r="I56" i="13"/>
  <c r="J56" i="13" s="1"/>
  <c r="I54" i="13"/>
  <c r="J54" i="13" s="1"/>
  <c r="L54" i="13" s="1"/>
  <c r="I52" i="13"/>
  <c r="J52" i="13" s="1"/>
  <c r="L52" i="13" s="1"/>
  <c r="I49" i="13"/>
  <c r="J49" i="13" s="1"/>
  <c r="L49" i="13" s="1"/>
  <c r="I47" i="13"/>
  <c r="J47" i="13" s="1"/>
  <c r="L47" i="13" s="1"/>
  <c r="I45" i="13"/>
  <c r="I39" i="13"/>
  <c r="J39" i="13" s="1"/>
  <c r="L39" i="13" s="1"/>
  <c r="I34" i="13"/>
  <c r="J34" i="13" s="1"/>
  <c r="L34" i="13" s="1"/>
  <c r="I32" i="13"/>
  <c r="J32" i="13" s="1"/>
  <c r="L32" i="13" s="1"/>
  <c r="I30" i="13"/>
  <c r="J30" i="13" s="1"/>
  <c r="L30" i="13" s="1"/>
  <c r="I127" i="13"/>
  <c r="H128" i="13" s="1"/>
  <c r="K128" i="13" s="1"/>
  <c r="E128" i="13" s="1"/>
  <c r="I159" i="13"/>
  <c r="J159" i="13" s="1"/>
  <c r="L159" i="13" s="1"/>
  <c r="I50" i="13"/>
  <c r="J50" i="13" s="1"/>
  <c r="L50" i="13" s="1"/>
  <c r="D179" i="13"/>
  <c r="C197" i="13"/>
  <c r="D209" i="13"/>
  <c r="C215" i="13"/>
  <c r="D217" i="13"/>
  <c r="D256" i="13"/>
  <c r="D69" i="13"/>
  <c r="D211" i="13"/>
  <c r="I170" i="13"/>
  <c r="D40" i="13"/>
  <c r="I211" i="13"/>
  <c r="J211" i="13" s="1"/>
  <c r="I208" i="13"/>
  <c r="J208" i="13" s="1"/>
  <c r="L208" i="13" s="1"/>
  <c r="I206" i="13"/>
  <c r="J206" i="13" s="1"/>
  <c r="L206" i="13" s="1"/>
  <c r="I204" i="13"/>
  <c r="J204" i="13" s="1"/>
  <c r="L204" i="13" s="1"/>
  <c r="I202" i="13"/>
  <c r="J202" i="13" s="1"/>
  <c r="L202" i="13" s="1"/>
  <c r="I199" i="13"/>
  <c r="J199" i="13" s="1"/>
  <c r="L199" i="13" s="1"/>
  <c r="I197" i="13"/>
  <c r="J197" i="13" s="1"/>
  <c r="L197" i="13" s="1"/>
  <c r="I195" i="13"/>
  <c r="J195" i="13" s="1"/>
  <c r="L195" i="13" s="1"/>
  <c r="I193" i="13"/>
  <c r="J193" i="13" s="1"/>
  <c r="L193" i="13" s="1"/>
  <c r="I191" i="13"/>
  <c r="J191" i="13" s="1"/>
  <c r="L191" i="13" s="1"/>
  <c r="I189" i="13"/>
  <c r="J189" i="13" s="1"/>
  <c r="L189" i="13" s="1"/>
  <c r="I187" i="13"/>
  <c r="J187" i="13" s="1"/>
  <c r="L187" i="13" s="1"/>
  <c r="I185" i="13"/>
  <c r="J185" i="13" s="1"/>
  <c r="L185" i="13" s="1"/>
  <c r="I183" i="13"/>
  <c r="J183" i="13" s="1"/>
  <c r="L183" i="13" s="1"/>
  <c r="I181" i="13"/>
  <c r="J181" i="13" s="1"/>
  <c r="L181" i="13" s="1"/>
  <c r="I178" i="13"/>
  <c r="J178" i="13" s="1"/>
  <c r="L178" i="13" s="1"/>
  <c r="I176" i="13"/>
  <c r="J176" i="13" s="1"/>
  <c r="L176" i="13" s="1"/>
  <c r="I172" i="13"/>
  <c r="J172" i="13" s="1"/>
  <c r="L172" i="13" s="1"/>
  <c r="I169" i="13"/>
  <c r="J169" i="13" s="1"/>
  <c r="L169" i="13" s="1"/>
  <c r="I167" i="13"/>
  <c r="J167" i="13" s="1"/>
  <c r="L167" i="13" s="1"/>
  <c r="I165" i="13"/>
  <c r="J165" i="13" s="1"/>
  <c r="L165" i="13" s="1"/>
  <c r="I160" i="13"/>
  <c r="J160" i="13" s="1"/>
  <c r="L160" i="13" s="1"/>
  <c r="I152" i="13"/>
  <c r="J152" i="13" s="1"/>
  <c r="L152" i="13" s="1"/>
  <c r="I126" i="13"/>
  <c r="J126" i="13" s="1"/>
  <c r="L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L225" i="13" s="1"/>
  <c r="I223" i="13"/>
  <c r="J223" i="13" s="1"/>
  <c r="L223" i="13" s="1"/>
  <c r="I221" i="13"/>
  <c r="J221" i="13" s="1"/>
  <c r="L221" i="13" s="1"/>
  <c r="I219" i="13"/>
  <c r="J219" i="13" s="1"/>
  <c r="L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I140" i="13"/>
  <c r="J140" i="13" s="1"/>
  <c r="L140" i="13" s="1"/>
  <c r="I137" i="13"/>
  <c r="J137" i="13" s="1"/>
  <c r="L137" i="13" s="1"/>
  <c r="I132" i="13"/>
  <c r="J132" i="13" s="1"/>
  <c r="L132" i="13" s="1"/>
  <c r="I129" i="13"/>
  <c r="J129" i="13" s="1"/>
  <c r="L129" i="13" s="1"/>
  <c r="I101" i="13"/>
  <c r="J101" i="13" s="1"/>
  <c r="I99" i="13"/>
  <c r="J99" i="13" s="1"/>
  <c r="L99" i="13" s="1"/>
  <c r="I97" i="13"/>
  <c r="J97" i="13" s="1"/>
  <c r="L97" i="13" s="1"/>
  <c r="I94" i="13"/>
  <c r="J94" i="13" s="1"/>
  <c r="L94" i="13" s="1"/>
  <c r="I92" i="13"/>
  <c r="J92" i="13" s="1"/>
  <c r="L92" i="13" s="1"/>
  <c r="I90" i="13"/>
  <c r="J90" i="13" s="1"/>
  <c r="L90" i="13" s="1"/>
  <c r="I88" i="13"/>
  <c r="J88" i="13" s="1"/>
  <c r="L88" i="13" s="1"/>
  <c r="I86" i="13"/>
  <c r="J86" i="13" s="1"/>
  <c r="L86" i="13" s="1"/>
  <c r="I84" i="13"/>
  <c r="J84" i="13" s="1"/>
  <c r="L84" i="13" s="1"/>
  <c r="I82" i="13"/>
  <c r="J82" i="13" s="1"/>
  <c r="L82" i="13" s="1"/>
  <c r="I78" i="13"/>
  <c r="J78" i="13" s="1"/>
  <c r="L78" i="13" s="1"/>
  <c r="I75" i="13"/>
  <c r="J75" i="13" s="1"/>
  <c r="L75" i="13" s="1"/>
  <c r="I55" i="13"/>
  <c r="J55" i="13" s="1"/>
  <c r="L55" i="13" s="1"/>
  <c r="I53" i="13"/>
  <c r="J53" i="13" s="1"/>
  <c r="L53" i="13" s="1"/>
  <c r="I51" i="13"/>
  <c r="J51" i="13" s="1"/>
  <c r="L51" i="13" s="1"/>
  <c r="I48" i="13"/>
  <c r="J48" i="13" s="1"/>
  <c r="L48" i="13" s="1"/>
  <c r="I46" i="13"/>
  <c r="J46" i="13" s="1"/>
  <c r="L46" i="13" s="1"/>
  <c r="I42" i="13"/>
  <c r="J42" i="13" s="1"/>
  <c r="L42" i="13" s="1"/>
  <c r="I36" i="13"/>
  <c r="J36" i="13" s="1"/>
  <c r="L36" i="13" s="1"/>
  <c r="I33" i="13"/>
  <c r="J33" i="13" s="1"/>
  <c r="L33" i="13" s="1"/>
  <c r="I31" i="13"/>
  <c r="J31" i="13" s="1"/>
  <c r="L31" i="13" s="1"/>
  <c r="I29" i="13"/>
  <c r="J29" i="13" s="1"/>
  <c r="L29" i="13" s="1"/>
  <c r="I122" i="13"/>
  <c r="H124" i="13" s="1"/>
  <c r="K124" i="13" s="1"/>
  <c r="E124" i="13" s="1"/>
  <c r="I107" i="13"/>
  <c r="J107" i="13" s="1"/>
  <c r="L107" i="13" s="1"/>
  <c r="I179" i="13"/>
  <c r="J179" i="13" s="1"/>
  <c r="L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 i="13"/>
  <c r="L14" i="13"/>
  <c r="L12" i="13"/>
  <c r="L10"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S87" i="13"/>
  <c r="L110"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J241" i="13"/>
  <c r="L241" i="13" s="1"/>
  <c r="L265" i="13"/>
  <c r="L23" i="13"/>
  <c r="L15" i="13"/>
  <c r="L11" i="13"/>
  <c r="H70" i="14"/>
  <c r="J261" i="13"/>
  <c r="L261" i="13" s="1"/>
  <c r="H87" i="14"/>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5" i="13"/>
  <c r="X15" i="13"/>
  <c r="D26" i="14"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T17" i="13"/>
  <c r="C28" i="14" s="1"/>
  <c r="U20" i="13"/>
  <c r="D124" i="13"/>
  <c r="O124" i="13"/>
  <c r="Y20" i="13"/>
  <c r="F31" i="14" s="1"/>
  <c r="V20" i="13"/>
  <c r="X20" i="13"/>
  <c r="D31" i="14" s="1"/>
  <c r="R124" i="13"/>
  <c r="N124" i="13"/>
  <c r="T21" i="13"/>
  <c r="C32" i="14" s="1"/>
  <c r="T20" i="13"/>
  <c r="C31" i="14" s="1"/>
  <c r="C124" i="13"/>
  <c r="Q124" i="13"/>
  <c r="M124" i="13"/>
  <c r="S124" i="13"/>
  <c r="K28" i="13"/>
  <c r="E28" i="13" s="1"/>
  <c r="L28" i="13"/>
  <c r="K211" i="13" l="1"/>
  <c r="E211" i="13" s="1"/>
  <c r="J210" i="13"/>
  <c r="L210" i="13" s="1"/>
  <c r="J25" i="13"/>
  <c r="L25" i="13" s="1"/>
  <c r="H26" i="13"/>
  <c r="K26" i="13" s="1"/>
  <c r="E26" i="13" s="1"/>
  <c r="H73" i="13"/>
  <c r="L73" i="13" s="1"/>
  <c r="L134" i="13"/>
  <c r="J133" i="13"/>
  <c r="L133" i="13" s="1"/>
  <c r="H148" i="13"/>
  <c r="J142" i="13"/>
  <c r="L142" i="13" s="1"/>
  <c r="H56" i="13"/>
  <c r="L56" i="13" s="1"/>
  <c r="H101" i="13"/>
  <c r="K101" i="13" s="1"/>
  <c r="E101" i="13" s="1"/>
  <c r="K143" i="13"/>
  <c r="E143" i="13" s="1"/>
  <c r="H123" i="13"/>
  <c r="H161" i="13"/>
  <c r="L124" i="13"/>
  <c r="H58" i="13"/>
  <c r="K58" i="13" s="1"/>
  <c r="E58" i="13" s="1"/>
  <c r="J122" i="13"/>
  <c r="L122" i="13" s="1"/>
  <c r="H59" i="13"/>
  <c r="L59" i="13" s="1"/>
  <c r="B128" i="13"/>
  <c r="X12" i="13" s="1"/>
  <c r="D23" i="14" s="1"/>
  <c r="J127" i="13"/>
  <c r="L127" i="13" s="1"/>
  <c r="L16" i="13"/>
  <c r="L128" i="13"/>
  <c r="I28" i="13"/>
  <c r="J28" i="13" s="1"/>
  <c r="O28" i="13"/>
  <c r="P28" i="13"/>
  <c r="C28" i="13"/>
  <c r="S28" i="13"/>
  <c r="M28" i="13"/>
  <c r="Q28" i="13"/>
  <c r="X11" i="13"/>
  <c r="D22" i="14" s="1"/>
  <c r="N28" i="13"/>
  <c r="R28" i="13"/>
  <c r="D28" i="13"/>
  <c r="L211" i="13" l="1"/>
  <c r="L143" i="13"/>
  <c r="L26" i="13"/>
  <c r="W21" i="13" s="1"/>
  <c r="W17" i="13"/>
  <c r="U17" i="13"/>
  <c r="K148" i="13"/>
  <c r="E148" i="13" s="1"/>
  <c r="L148" i="13"/>
  <c r="W19" i="13" s="1"/>
  <c r="U19" i="13"/>
  <c r="V19" i="13"/>
  <c r="W18" i="13"/>
  <c r="E29" i="14" s="1"/>
  <c r="L101" i="13"/>
  <c r="W7" i="13" s="1"/>
  <c r="U18" i="13"/>
  <c r="X18" i="13"/>
  <c r="D29" i="14" s="1"/>
  <c r="V18" i="13"/>
  <c r="X14" i="13"/>
  <c r="D25" i="14" s="1"/>
  <c r="V16" i="13"/>
  <c r="U16" i="13"/>
  <c r="W16" i="13"/>
  <c r="X16" i="13"/>
  <c r="D27" i="14" s="1"/>
  <c r="K56" i="13"/>
  <c r="E56" i="13" s="1"/>
  <c r="W12" i="13"/>
  <c r="Y12" i="13" s="1"/>
  <c r="F23" i="14" s="1"/>
  <c r="V2" i="13"/>
  <c r="W11" i="13"/>
  <c r="U10" i="13"/>
  <c r="K161" i="13"/>
  <c r="E161" i="13" s="1"/>
  <c r="V10" i="13"/>
  <c r="V13" i="13"/>
  <c r="X6" i="13"/>
  <c r="D17" i="14" s="1"/>
  <c r="U12" i="13"/>
  <c r="V9" i="13"/>
  <c r="K59" i="13"/>
  <c r="E59" i="13" s="1"/>
  <c r="U9" i="13"/>
  <c r="U14" i="13"/>
  <c r="U2" i="13"/>
  <c r="U6" i="13"/>
  <c r="V5" i="13"/>
  <c r="V11" i="13"/>
  <c r="X13" i="13"/>
  <c r="D24" i="14" s="1"/>
  <c r="X21" i="13"/>
  <c r="D32" i="14" s="1"/>
  <c r="W3" i="13"/>
  <c r="E14" i="14" s="1"/>
  <c r="U13" i="13"/>
  <c r="U3" i="13"/>
  <c r="X2" i="13"/>
  <c r="D13" i="14" s="1"/>
  <c r="W6" i="13"/>
  <c r="E17" i="14" s="1"/>
  <c r="X3" i="13"/>
  <c r="D14" i="14" s="1"/>
  <c r="V6" i="13"/>
  <c r="V12" i="13"/>
  <c r="V7" i="13"/>
  <c r="V3" i="13"/>
  <c r="X5" i="13"/>
  <c r="D16" i="14" s="1"/>
  <c r="U21" i="13"/>
  <c r="L58" i="13"/>
  <c r="W4" i="13" s="1"/>
  <c r="E15" i="14" s="1"/>
  <c r="U8" i="13"/>
  <c r="U11" i="13"/>
  <c r="W8" i="13"/>
  <c r="E19" i="14" s="1"/>
  <c r="W13" i="13"/>
  <c r="E24" i="14" s="1"/>
  <c r="V4" i="13"/>
  <c r="W14" i="13"/>
  <c r="E25" i="14" s="1"/>
  <c r="W2" i="13"/>
  <c r="E13" i="14" s="1"/>
  <c r="W5" i="13"/>
  <c r="E16" i="14" s="1"/>
  <c r="X7" i="13"/>
  <c r="D18" i="14" s="1"/>
  <c r="U5" i="13"/>
  <c r="X8" i="13"/>
  <c r="D19" i="14" s="1"/>
  <c r="U4" i="13"/>
  <c r="V8" i="13"/>
  <c r="U7" i="13"/>
  <c r="V14" i="13"/>
  <c r="K123" i="13"/>
  <c r="L123" i="13"/>
  <c r="W9" i="13" s="1"/>
  <c r="E32" i="14"/>
  <c r="X17" i="13"/>
  <c r="D28" i="14" s="1"/>
  <c r="I128" i="13"/>
  <c r="M128" i="13"/>
  <c r="D128" i="13"/>
  <c r="V17" i="13"/>
  <c r="C128" i="13"/>
  <c r="V21" i="13"/>
  <c r="J128" i="13"/>
  <c r="P128" i="13"/>
  <c r="O128" i="13"/>
  <c r="N128" i="13"/>
  <c r="Q128" i="13"/>
  <c r="S128" i="13"/>
  <c r="R128" i="13"/>
  <c r="X10" i="13"/>
  <c r="D21" i="14" s="1"/>
  <c r="E28" i="14"/>
  <c r="E18" i="14"/>
  <c r="E23" i="14"/>
  <c r="E22" i="14"/>
  <c r="Y11" i="13"/>
  <c r="F22" i="14" s="1"/>
  <c r="X4" i="13" l="1"/>
  <c r="D15" i="14" s="1"/>
  <c r="Y14" i="13"/>
  <c r="F25" i="14" s="1"/>
  <c r="L161" i="13"/>
  <c r="W10" i="13" s="1"/>
  <c r="E21" i="14" s="1"/>
  <c r="X19" i="13"/>
  <c r="D30" i="14" s="1"/>
  <c r="Y6" i="13"/>
  <c r="F17" i="14" s="1"/>
  <c r="E30" i="14"/>
  <c r="Y2" i="13"/>
  <c r="F13" i="14" s="1"/>
  <c r="Y17" i="13"/>
  <c r="F28" i="14" s="1"/>
  <c r="Y18" i="13"/>
  <c r="F29" i="14" s="1"/>
  <c r="E27" i="14"/>
  <c r="Y16" i="13"/>
  <c r="F27" i="14" s="1"/>
  <c r="Y8" i="13"/>
  <c r="F19" i="14" s="1"/>
  <c r="U23" i="13"/>
  <c r="Y13" i="13"/>
  <c r="F24" i="14" s="1"/>
  <c r="Y5" i="13"/>
  <c r="F16" i="14" s="1"/>
  <c r="V23" i="13"/>
  <c r="E20" i="14"/>
  <c r="Y7" i="13"/>
  <c r="F18" i="14" s="1"/>
  <c r="E123" i="13"/>
  <c r="X9" i="13"/>
  <c r="D20" i="14" s="1"/>
  <c r="Y3" i="13"/>
  <c r="F14" i="14" s="1"/>
  <c r="Y21" i="13"/>
  <c r="Y4" i="13" l="1"/>
  <c r="F15" i="14" s="1"/>
  <c r="Y10" i="13"/>
  <c r="F21" i="14" s="1"/>
  <c r="Y23" i="13"/>
  <c r="E33" i="14" s="1"/>
  <c r="Y19" i="13"/>
  <c r="F30" i="14" s="1"/>
  <c r="Y9" i="13"/>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0"/>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<sst xmlns="http://schemas.openxmlformats.org/spreadsheetml/2006/main" count="6287" uniqueCount="3202">
  <si>
    <t>Date</t>
  </si>
  <si>
    <t>General Information</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</si>
  <si>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</si>
  <si>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</si>
  <si>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</si>
  <si>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</si>
  <si>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</si>
  <si>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</si>
  <si>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</si>
  <si>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</si>
  <si>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</si>
  <si>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</si>
  <si>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</si>
  <si>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</si>
  <si>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</si>
  <si>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</si>
  <si>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</si>
  <si>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</si>
  <si>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</si>
  <si>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</si>
  <si>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</si>
  <si>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</si>
  <si>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</si>
  <si>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</si>
  <si>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</si>
  <si>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</si>
  <si>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</si>
  <si>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</si>
  <si>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</si>
  <si>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</si>
  <si>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</si>
  <si>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</si>
  <si>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</si>
  <si>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</si>
  <si>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</si>
  <si>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</si>
  <si>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</si>
  <si>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</si>
  <si>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</si>
  <si>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</si>
  <si>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</si>
  <si>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</si>
  <si>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</si>
  <si>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</si>
  <si>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</si>
  <si>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</si>
  <si>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</si>
  <si>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</si>
  <si>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</si>
  <si>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</si>
  <si>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</si>
  <si>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</si>
  <si>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</si>
  <si>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</si>
  <si>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</si>
  <si>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</si>
  <si>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</si>
  <si>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</si>
  <si>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</si>
  <si>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</si>
  <si>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</si>
  <si>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</si>
  <si>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</si>
  <si>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</si>
  <si>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</si>
  <si>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</si>
  <si>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</si>
  <si>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</si>
  <si>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</si>
  <si>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</si>
  <si>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</si>
  <si>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</si>
  <si>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</si>
  <si>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</si>
  <si>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</si>
  <si>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</si>
  <si>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</si>
  <si>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</si>
  <si>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</si>
  <si>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</si>
  <si>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</si>
  <si>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</si>
  <si>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</si>
  <si>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</si>
  <si>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</si>
  <si>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</si>
  <si>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</si>
  <si>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</si>
  <si>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</si>
  <si>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</si>
  <si>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</si>
  <si>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</si>
  <si>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</si>
  <si>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</si>
  <si>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</si>
  <si>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</si>
  <si>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</si>
  <si>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</si>
  <si>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</si>
  <si>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</si>
  <si>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</si>
  <si>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</si>
  <si>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</si>
  <si>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</si>
  <si>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</si>
  <si>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</si>
  <si>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</si>
  <si>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</si>
  <si>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</si>
  <si>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</si>
  <si>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</si>
  <si>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</si>
  <si>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</si>
  <si>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</si>
  <si>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</si>
  <si>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</si>
  <si>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</si>
  <si>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</si>
  <si>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</si>
  <si>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</si>
  <si>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</si>
  <si>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</si>
  <si>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</si>
  <si>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</si>
  <si>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</si>
  <si>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</si>
  <si>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</si>
  <si>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</si>
  <si>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</si>
  <si>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</si>
  <si>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</si>
  <si>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</si>
  <si>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</si>
  <si>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</si>
  <si>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</si>
  <si>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</si>
  <si>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</si>
  <si>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</si>
  <si>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</si>
  <si>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</si>
  <si>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</si>
  <si>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</si>
  <si>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</si>
  <si>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</si>
  <si>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</si>
  <si>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</si>
  <si>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</si>
  <si>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</si>
  <si>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</si>
  <si>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</si>
  <si>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</si>
  <si>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</si>
  <si>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</si>
  <si>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</si>
  <si>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</si>
  <si>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</si>
  <si>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</si>
  <si>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</si>
  <si>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</si>
  <si>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v0.8</t>
  </si>
  <si>
    <t>Are systems that support this service managed via a separate management network?</t>
  </si>
  <si>
    <t>Are employee mobile devices managed by your company's Mobile Device Management (MDM) platform?</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</si>
  <si>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</si>
  <si>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</si>
  <si>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</si>
  <si>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</si>
  <si>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</si>
  <si>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</si>
  <si>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</si>
  <si>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</si>
  <si>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</si>
  <si>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</si>
  <si>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</si>
  <si>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</si>
  <si>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</si>
  <si>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</si>
  <si>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</si>
  <si>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</si>
  <si>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</si>
  <si>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</si>
  <si>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</si>
  <si>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</si>
  <si>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</si>
  <si>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</si>
  <si>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</si>
  <si>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</si>
  <si>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</si>
  <si>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</si>
  <si>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</si>
  <si>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</si>
  <si>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</si>
  <si>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</si>
  <si>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</si>
  <si>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</si>
  <si>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</si>
  <si>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</si>
  <si>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</si>
  <si>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</si>
  <si>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</si>
  <si>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</si>
  <si>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</si>
  <si>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</si>
  <si>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</si>
  <si>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</si>
  <si>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</si>
  <si>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</si>
  <si>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</si>
  <si>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</si>
  <si>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</si>
  <si>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</si>
  <si>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</si>
  <si>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</si>
  <si>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</si>
  <si>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</si>
  <si>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</si>
  <si>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</si>
  <si>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</si>
  <si>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</si>
  <si>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</si>
  <si>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</si>
  <si>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</si>
  <si>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</si>
  <si>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</si>
  <si>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</si>
  <si>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</si>
  <si>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</si>
  <si>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</si>
  <si>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</si>
  <si>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</si>
  <si>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</si>
  <si>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</si>
  <si>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</si>
  <si>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</si>
  <si>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</si>
  <si>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</si>
  <si>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</si>
  <si>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</si>
  <si>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</si>
  <si>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</si>
  <si>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</si>
  <si>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</si>
  <si>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</si>
  <si>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</si>
  <si>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</si>
  <si>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</si>
  <si>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</si>
  <si>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</si>
  <si>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</si>
  <si>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</si>
  <si>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</si>
  <si>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</si>
  <si>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</si>
  <si>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</si>
  <si>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</si>
  <si>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</si>
  <si>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</si>
  <si>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</si>
  <si>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</si>
  <si>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</si>
  <si>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</si>
  <si>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</si>
  <si>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</si>
  <si>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</si>
  <si>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</si>
  <si>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</si>
  <si>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</si>
  <si>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</si>
  <si>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</si>
  <si>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</si>
  <si>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</si>
  <si>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</si>
  <si>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</si>
  <si>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</si>
  <si>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</si>
  <si>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</si>
  <si>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</si>
  <si>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</si>
  <si>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</si>
  <si>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</si>
  <si>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</si>
  <si>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</si>
  <si>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</si>
  <si>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</si>
  <si>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</si>
  <si>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</si>
  <si>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</si>
  <si>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</si>
  <si>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</si>
  <si>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</si>
  <si>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</si>
  <si>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</si>
  <si>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</si>
  <si>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</si>
  <si>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</si>
  <si>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</si>
  <si>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</si>
  <si>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</si>
  <si>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</si>
  <si>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</si>
  <si>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</si>
  <si>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</si>
  <si>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</si>
  <si>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</si>
  <si>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</si>
  <si>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</si>
  <si>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</si>
  <si>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</si>
  <si>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</si>
  <si>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</si>
  <si>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</si>
  <si>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</si>
  <si>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</si>
  <si>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</si>
  <si>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</si>
  <si>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</si>
  <si>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</si>
  <si>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</si>
  <si>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</si>
  <si>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</si>
  <si>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</si>
  <si>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</si>
  <si>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</si>
  <si>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</si>
  <si>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</si>
  <si>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</si>
  <si>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</si>
  <si>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</si>
  <si>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</si>
  <si>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</si>
  <si>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</si>
  <si>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</si>
  <si>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</si>
  <si>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</si>
  <si>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</si>
  <si>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</si>
  <si>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</si>
  <si>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</si>
  <si>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</si>
  <si>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</si>
  <si>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</si>
  <si>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</si>
  <si>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</si>
  <si>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</si>
  <si>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</si>
  <si>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</si>
  <si>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</si>
  <si>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</si>
  <si>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</si>
  <si>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</si>
  <si>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</si>
  <si>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</si>
  <si>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</si>
  <si>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</si>
  <si>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</si>
  <si>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</si>
  <si>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</si>
  <si>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</si>
  <si>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</si>
  <si>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</si>
  <si>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</si>
  <si>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</si>
  <si>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</si>
  <si>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</si>
  <si>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</si>
  <si>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</si>
  <si>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</si>
  <si>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</si>
  <si>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</si>
  <si>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</si>
  <si>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</si>
  <si>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</si>
  <si>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</si>
  <si>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</si>
  <si>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</si>
  <si>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</si>
  <si>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</si>
  <si>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</si>
  <si>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</si>
  <si>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</si>
  <si>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</si>
  <si>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</si>
  <si>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</si>
  <si>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</si>
  <si>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</si>
  <si>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</si>
  <si>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</si>
  <si>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</si>
  <si>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</si>
  <si>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</si>
  <si>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</si>
  <si>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</si>
  <si>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</si>
  <si>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</si>
  <si>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</si>
  <si>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</si>
  <si>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</si>
  <si>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</si>
  <si>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</si>
  <si>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</si>
  <si>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</si>
  <si>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</si>
  <si>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</si>
  <si>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</si>
  <si>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</si>
  <si>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</si>
  <si>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</si>
  <si>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</si>
  <si>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</si>
  <si>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</si>
  <si>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</si>
  <si>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</si>
  <si>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</si>
  <si>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</si>
  <si>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</si>
  <si>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</si>
  <si>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</si>
  <si>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</si>
  <si>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</si>
  <si>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</si>
  <si>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</si>
  <si>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</si>
  <si>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</si>
  <si>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</si>
  <si>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</si>
  <si>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</si>
  <si>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</si>
  <si>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</si>
  <si>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</si>
  <si>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</si>
  <si>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</si>
  <si>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</si>
  <si>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</si>
  <si>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</si>
  <si>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</si>
  <si>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</si>
  <si>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</si>
  <si>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</si>
  <si>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</si>
  <si>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</si>
  <si>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</si>
  <si>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</si>
  <si>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</si>
  <si>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</si>
  <si>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</si>
  <si>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</si>
  <si>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</si>
  <si>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</si>
  <si>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</si>
  <si>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</si>
  <si>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</si>
  <si>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</si>
  <si>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</si>
  <si>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</si>
  <si>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</si>
  <si>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</si>
  <si>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</si>
  <si>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</si>
  <si>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</si>
  <si>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</si>
  <si>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</si>
  <si>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</si>
  <si>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</si>
  <si>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</si>
  <si>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</si>
  <si>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</si>
  <si>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</si>
  <si>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</si>
  <si>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</si>
  <si>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</si>
  <si>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</si>
  <si>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</si>
  <si>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</si>
  <si>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</si>
  <si>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</si>
  <si>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</si>
  <si>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</si>
  <si>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</si>
  <si>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</si>
  <si>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</si>
  <si>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</si>
  <si>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</si>
  <si>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</si>
  <si>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</si>
  <si>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</si>
  <si>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</si>
  <si>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</si>
  <si>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</si>
  <si>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</si>
  <si>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</si>
  <si>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</si>
  <si>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</si>
  <si>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</si>
  <si>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</si>
  <si>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</si>
  <si>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</si>
  <si>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</si>
  <si>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</si>
  <si>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</si>
  <si>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</si>
  <si>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</si>
  <si>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</si>
  <si>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</si>
  <si>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</si>
  <si>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</si>
  <si>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</si>
  <si>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</si>
  <si>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</si>
  <si>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</si>
  <si>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</si>
  <si>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</si>
  <si>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</si>
  <si>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</si>
  <si>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</si>
  <si>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</si>
  <si>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</si>
  <si>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</si>
  <si>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</si>
  <si>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</si>
  <si>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</si>
  <si>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</si>
  <si>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</si>
  <si>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</si>
  <si>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</si>
  <si>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</si>
  <si>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</si>
  <si>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</si>
  <si>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</si>
  <si>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</si>
  <si>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</si>
  <si>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</si>
  <si>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</si>
  <si>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</si>
  <si>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</si>
  <si>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</si>
  <si>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</si>
  <si>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</si>
  <si>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</si>
  <si>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</si>
  <si>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</si>
  <si>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</si>
  <si>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</si>
  <si>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</si>
  <si>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</si>
  <si>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</si>
  <si>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</si>
  <si>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</si>
  <si>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</si>
  <si>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</si>
  <si>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</si>
  <si>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</si>
  <si>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</si>
  <si>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</si>
  <si>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</si>
  <si>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</si>
  <si>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</si>
  <si>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</si>
  <si>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</si>
  <si>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</si>
  <si>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</si>
  <si>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</si>
  <si>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</si>
  <si>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</si>
  <si>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</si>
  <si>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</si>
  <si>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</si>
  <si>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</si>
  <si>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</si>
  <si>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</si>
  <si>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</si>
  <si>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</si>
  <si>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</si>
  <si>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</si>
  <si>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</si>
  <si>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</si>
  <si>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</si>
  <si>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</si>
  <si>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</si>
  <si>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</si>
  <si>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</si>
  <si>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</si>
  <si>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</si>
  <si>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</si>
  <si>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</si>
  <si>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</si>
  <si>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</si>
  <si>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</si>
  <si>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</si>
  <si>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</si>
  <si>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</si>
  <si>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</si>
  <si>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</si>
  <si>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</si>
  <si>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</si>
  <si>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</si>
  <si>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</si>
  <si>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</si>
  <si>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</si>
  <si>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</si>
  <si>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</si>
  <si>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</si>
  <si>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</si>
  <si>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</si>
  <si>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</si>
  <si>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</si>
  <si>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</si>
  <si>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</si>
  <si>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</si>
  <si>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</si>
  <si>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</si>
  <si>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</si>
  <si>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</si>
  <si>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</si>
  <si>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</si>
  <si>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</si>
  <si>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</si>
  <si>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</si>
  <si>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</si>
  <si>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</si>
  <si>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</si>
  <si>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</si>
  <si>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</si>
  <si>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</si>
  <si>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</si>
  <si>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</si>
  <si>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</si>
  <si>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</si>
  <si>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</si>
  <si>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</si>
  <si>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</si>
  <si>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</si>
  <si>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</si>
  <si>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</si>
  <si>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</si>
  <si>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</si>
  <si>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</si>
  <si>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</si>
  <si>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</si>
  <si>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</si>
  <si>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</si>
  <si>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</si>
  <si>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</si>
  <si>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</si>
  <si>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</si>
  <si>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</si>
  <si>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</si>
  <si>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</si>
  <si>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</si>
  <si>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</si>
  <si>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</si>
  <si>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</si>
  <si>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</si>
  <si>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</si>
  <si>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</si>
  <si>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</si>
  <si>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</si>
  <si>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</si>
  <si>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</si>
  <si>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</si>
  <si>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</si>
  <si>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</si>
  <si>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</si>
  <si>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</si>
  <si>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</si>
  <si>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</si>
  <si>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</si>
  <si>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</si>
  <si>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</si>
  <si>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</si>
  <si>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</si>
  <si>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</si>
  <si>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</si>
  <si>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</si>
  <si>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</si>
  <si>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</si>
  <si>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</si>
  <si>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</si>
  <si>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</si>
  <si>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</si>
  <si>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</si>
  <si>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</si>
  <si>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</si>
  <si>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</si>
  <si>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</si>
  <si>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</si>
  <si>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</si>
  <si>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</si>
  <si>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</si>
  <si>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</si>
  <si>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</si>
  <si>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</si>
  <si>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</si>
  <si>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</si>
  <si>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</si>
  <si>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</si>
  <si>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</si>
  <si>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</si>
  <si>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</si>
  <si>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</si>
  <si>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</si>
  <si>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</si>
  <si>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</si>
  <si>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</si>
  <si>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</si>
  <si>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</si>
  <si>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</si>
  <si>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</si>
  <si>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</si>
  <si>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</si>
  <si>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</si>
  <si>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</si>
  <si>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</si>
  <si>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</si>
  <si>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</si>
  <si>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</si>
  <si>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</si>
  <si>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</si>
  <si>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</si>
  <si>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</si>
  <si>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</si>
  <si>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</si>
  <si>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</si>
  <si>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</si>
  <si>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</si>
  <si>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</si>
  <si>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</si>
  <si>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</si>
  <si>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</si>
  <si>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</si>
  <si>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</si>
  <si>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</si>
  <si>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</si>
  <si>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</si>
  <si>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</si>
  <si>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</si>
  <si>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</si>
  <si>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</si>
  <si>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</si>
  <si>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</si>
  <si>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</si>
  <si>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</si>
  <si>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</si>
  <si>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</si>
  <si>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</si>
  <si>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</si>
  <si>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</si>
  <si>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</si>
  <si>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</si>
  <si>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</si>
  <si>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</si>
  <si>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</si>
  <si>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</si>
  <si>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</si>
  <si>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</si>
  <si>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</si>
  <si>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</si>
  <si>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</si>
  <si>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</si>
  <si>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</si>
  <si>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</si>
  <si>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</si>
  <si>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</si>
  <si>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</si>
  <si>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</si>
  <si>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</si>
  <si>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</si>
  <si>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</si>
  <si>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</si>
  <si>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</si>
  <si>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</si>
  <si>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</si>
  <si>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</si>
  <si>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</si>
  <si>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</si>
  <si>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</si>
  <si>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</si>
  <si>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</si>
  <si>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</si>
  <si>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</si>
  <si>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</si>
  <si>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</si>
  <si>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</si>
  <si>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</si>
  <si>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</si>
  <si>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</si>
  <si>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</si>
  <si>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</si>
  <si>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</si>
  <si>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</si>
  <si>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</si>
  <si>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</si>
  <si>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</si>
  <si>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</si>
  <si>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</si>
  <si>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</si>
  <si>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</si>
  <si>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</si>
  <si>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</si>
  <si>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</si>
  <si>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</si>
  <si>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</si>
  <si>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</si>
  <si>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</si>
  <si>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</si>
  <si>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</si>
  <si>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</si>
  <si>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</si>
  <si>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</si>
  <si>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</si>
  <si>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</si>
  <si>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</si>
  <si>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</si>
  <si>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</si>
  <si>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</si>
  <si>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</si>
  <si>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</si>
  <si>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</si>
  <si>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</si>
  <si>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</si>
  <si>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</si>
  <si>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</si>
  <si>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</si>
  <si>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</si>
  <si>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</si>
  <si>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</si>
  <si>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</si>
  <si>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</si>
  <si>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</si>
  <si>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</si>
  <si>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</si>
  <si>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</si>
  <si>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</si>
  <si>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</si>
  <si>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</si>
  <si>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</si>
  <si>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</si>
  <si>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</si>
  <si>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</si>
  <si>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</si>
  <si>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</si>
  <si>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</si>
  <si>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</si>
  <si>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</si>
  <si>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</si>
  <si>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</si>
  <si>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</si>
  <si>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</si>
  <si>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</si>
  <si>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</si>
  <si>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</si>
  <si>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</si>
  <si>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</si>
  <si>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</si>
  <si>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</si>
  <si>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</si>
  <si>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</si>
  <si>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</si>
  <si>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</si>
  <si>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</si>
  <si>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</si>
  <si>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</si>
  <si>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</si>
  <si>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</si>
  <si>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</si>
  <si>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</si>
  <si>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</si>
  <si>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</si>
  <si>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</si>
  <si>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</si>
  <si>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</si>
  <si>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</si>
  <si>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</si>
  <si>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</si>
  <si>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</si>
  <si>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</si>
  <si>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</si>
  <si>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</si>
  <si>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</si>
  <si>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</si>
  <si>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</si>
  <si>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</si>
  <si>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</si>
  <si>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</si>
  <si>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</si>
  <si>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</si>
  <si>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</si>
  <si>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</si>
  <si>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</si>
  <si>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</si>
  <si>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</si>
  <si>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</si>
  <si>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</si>
  <si>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</si>
  <si>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</si>
  <si>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</si>
  <si>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</si>
  <si>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</si>
  <si>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</si>
  <si>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</si>
  <si>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</si>
  <si>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</si>
  <si>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</si>
  <si>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</si>
  <si>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</si>
  <si>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</si>
  <si>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</si>
  <si>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</si>
  <si>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</si>
  <si>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</si>
  <si>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</si>
  <si>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</si>
  <si>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</si>
  <si>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</si>
  <si>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</si>
  <si>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</si>
  <si>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</si>
  <si>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</si>
  <si>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</si>
  <si>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</si>
  <si>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</si>
  <si>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</si>
  <si>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</si>
  <si>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</si>
  <si>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</si>
  <si>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</si>
  <si>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</si>
  <si>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</si>
  <si>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</si>
  <si>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</si>
  <si>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</si>
  <si>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</si>
  <si>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</si>
  <si>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</si>
  <si>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</si>
  <si>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</si>
  <si>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</si>
  <si>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</si>
  <si>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</si>
  <si>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</si>
  <si>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</si>
  <si>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</si>
  <si>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</si>
  <si>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</si>
  <si>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</si>
  <si>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</si>
  <si>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</si>
  <si>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</si>
  <si>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</si>
  <si>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</si>
  <si>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</si>
  <si>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</si>
  <si>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</si>
  <si>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</si>
  <si>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</si>
  <si>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</si>
  <si>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</si>
  <si>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</si>
  <si>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</si>
  <si>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</si>
  <si>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</si>
  <si>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</si>
  <si>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</si>
  <si>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</si>
  <si>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</si>
  <si>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</si>
  <si>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</si>
  <si>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</si>
  <si>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</si>
  <si>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</si>
  <si>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</si>
  <si>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</si>
  <si>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</si>
  <si>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</si>
  <si>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</si>
  <si>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</si>
  <si>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</si>
  <si>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</si>
  <si>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</si>
  <si>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</si>
  <si>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</si>
  <si>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</si>
  <si>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</si>
  <si>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</si>
  <si>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</si>
  <si>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</si>
  <si>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</si>
  <si>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</si>
  <si>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</si>
  <si>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</si>
  <si>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</si>
  <si>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</si>
  <si>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</si>
  <si>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</si>
  <si>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</si>
  <si>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</si>
  <si>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</si>
  <si>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</si>
  <si>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</si>
  <si>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</si>
  <si>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</si>
  <si>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</si>
  <si>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</si>
  <si>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</si>
  <si>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</si>
  <si>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</si>
  <si>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</si>
  <si>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</si>
  <si>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</si>
  <si>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</si>
  <si>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</si>
  <si>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</si>
  <si>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</si>
  <si>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</si>
  <si>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</si>
  <si>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</si>
  <si>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</si>
  <si>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</si>
  <si>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</si>
  <si>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</si>
  <si>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</si>
  <si>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</si>
  <si>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</si>
  <si>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</si>
  <si>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</si>
  <si>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</si>
  <si>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</si>
  <si>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</si>
  <si>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</si>
  <si>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</si>
  <si>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</si>
  <si>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</si>
  <si>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</si>
  <si>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</si>
  <si>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</si>
  <si>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</si>
  <si>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</si>
  <si>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</si>
  <si>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</si>
  <si>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</si>
  <si>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</si>
  <si>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</si>
  <si>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</si>
  <si>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</si>
  <si>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</si>
  <si>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</si>
  <si>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</si>
  <si>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</si>
  <si>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</si>
  <si>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</si>
  <si>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</si>
  <si>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</si>
  <si>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</si>
  <si>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</si>
  <si>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</si>
  <si>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</si>
  <si>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</si>
  <si>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</si>
  <si>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</si>
  <si>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</si>
  <si>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</si>
  <si>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</si>
  <si>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</si>
  <si>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</si>
  <si>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</si>
  <si>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</si>
  <si>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</si>
  <si>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</si>
  <si>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</si>
  <si>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</si>
  <si>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</si>
  <si>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</si>
  <si>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</si>
  <si>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</si>
  <si>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</si>
  <si>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</si>
  <si>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</si>
  <si>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</si>
  <si>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</si>
  <si>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</si>
  <si>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</si>
  <si>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</si>
  <si>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</si>
  <si>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</si>
  <si>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</si>
  <si>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</si>
  <si>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</si>
  <si>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</si>
  <si>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</si>
  <si>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</si>
  <si>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</si>
  <si>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</si>
  <si>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</si>
  <si>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</si>
  <si>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</si>
  <si>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</si>
  <si>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</si>
  <si>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</si>
  <si>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</si>
  <si>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</si>
  <si>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</si>
  <si>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</si>
  <si>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</si>
  <si>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</si>
  <si>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</si>
  <si>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</si>
  <si>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</si>
  <si>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</si>
  <si>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</si>
  <si>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</si>
  <si>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</si>
  <si>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</si>
  <si>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</si>
  <si>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</si>
  <si>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</si>
  <si>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</si>
  <si>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</si>
  <si>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</si>
  <si>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</si>
  <si>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</si>
  <si>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</si>
  <si>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</si>
  <si>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</si>
  <si>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</si>
  <si>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</si>
  <si>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</si>
  <si>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</si>
  <si>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</si>
  <si>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</si>
  <si>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</si>
  <si>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</si>
  <si>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</si>
  <si>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</si>
  <si>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</si>
  <si>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</si>
  <si>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</si>
  <si>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</si>
  <si>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</si>
  <si>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</si>
  <si>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</si>
  <si>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</si>
  <si>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</si>
  <si>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</si>
  <si>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</si>
  <si>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</si>
  <si>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</si>
  <si>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</si>
  <si>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</si>
  <si>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</si>
  <si>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</si>
  <si>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</si>
  <si>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</si>
  <si>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</si>
  <si>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</si>
  <si>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</si>
  <si>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</si>
  <si>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</si>
  <si>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</si>
  <si>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</si>
  <si>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</si>
  <si>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</si>
  <si>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</si>
  <si>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</si>
  <si>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</si>
  <si>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</si>
  <si>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</si>
  <si>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</si>
  <si>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</si>
  <si>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</si>
  <si>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</si>
  <si>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</si>
  <si>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</si>
  <si>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</si>
  <si>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</si>
  <si>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</si>
  <si>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</si>
  <si>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</si>
  <si>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</si>
  <si>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</si>
  <si>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</si>
  <si>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</si>
  <si>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</si>
  <si>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</si>
  <si>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</si>
  <si>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</si>
  <si>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</si>
  <si>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</si>
  <si>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</si>
  <si>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</si>
  <si>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</si>
  <si>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</si>
  <si>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</si>
  <si>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</si>
  <si>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</si>
  <si>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</si>
  <si>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</si>
  <si>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</si>
  <si>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</si>
  <si>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</si>
  <si>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</si>
  <si>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</si>
  <si>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</si>
  <si>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</si>
  <si>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</si>
  <si>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</si>
  <si>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</si>
  <si>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</si>
  <si>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</si>
  <si>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</si>
  <si>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</si>
  <si>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</si>
  <si>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</si>
  <si>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</si>
  <si>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</si>
  <si>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</si>
  <si>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</si>
  <si>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</si>
  <si>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</si>
  <si>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</si>
  <si>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</si>
  <si>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</si>
  <si>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</si>
  <si>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</si>
  <si>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</si>
  <si>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</si>
  <si>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</si>
  <si>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</si>
  <si>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</si>
  <si>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</si>
  <si>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</si>
  <si>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</si>
  <si>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</si>
  <si>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</si>
  <si>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</si>
  <si>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</si>
  <si>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</si>
  <si>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</si>
  <si>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</si>
  <si>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</si>
  <si>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</si>
  <si>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</si>
  <si>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</si>
  <si>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</si>
  <si>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</si>
  <si>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</si>
  <si>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</si>
  <si>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</si>
  <si>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</si>
  <si>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</si>
  <si>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</si>
  <si>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</si>
  <si>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</si>
  <si>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</si>
  <si>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</si>
  <si>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</si>
  <si>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</si>
  <si>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</si>
  <si>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</si>
  <si>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</si>
  <si>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</si>
  <si>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</si>
  <si>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</si>
  <si>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</si>
  <si>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</si>
  <si>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</si>
  <si>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</si>
  <si>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</si>
  <si>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</si>
  <si>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</si>
  <si>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</si>
  <si>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</si>
  <si>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</si>
  <si>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</si>
  <si>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</si>
  <si>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</si>
  <si>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</si>
  <si>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</si>
  <si>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</si>
  <si>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</si>
  <si>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</si>
  <si>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</si>
  <si>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</si>
  <si>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</si>
  <si>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</si>
  <si>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</si>
  <si>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</si>
  <si>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</si>
  <si>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</si>
  <si>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</si>
  <si>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</si>
  <si>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</si>
  <si>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</si>
  <si>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</si>
  <si>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</si>
  <si>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</si>
  <si>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</si>
  <si>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</si>
  <si>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</si>
  <si>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</si>
  <si>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</si>
  <si>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</si>
  <si>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</si>
  <si>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</si>
  <si>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</si>
  <si>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</si>
  <si>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</si>
  <si>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</si>
  <si>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</si>
  <si>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</si>
  <si>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</si>
  <si>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</si>
  <si>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</si>
  <si>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</si>
  <si>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</si>
  <si>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</si>
  <si>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</si>
  <si>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</si>
  <si>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</si>
  <si>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</si>
  <si>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</si>
  <si>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</si>
  <si>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</si>
  <si>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</si>
  <si>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</si>
  <si>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</si>
  <si>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</si>
  <si>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</si>
  <si>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</si>
  <si>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</si>
  <si>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</si>
  <si>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</si>
  <si>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</si>
  <si>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</si>
  <si>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</si>
  <si>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</si>
  <si>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</si>
  <si>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</si>
  <si>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</si>
  <si>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</si>
  <si>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</si>
  <si>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</si>
  <si>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</si>
  <si>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</si>
  <si>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</si>
  <si>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</si>
  <si>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</si>
  <si>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</si>
  <si>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</si>
  <si>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</si>
  <si>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</si>
  <si>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</si>
  <si>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</si>
  <si>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</si>
  <si>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</si>
  <si>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</si>
  <si>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</si>
  <si>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</si>
  <si>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</si>
  <si>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</si>
  <si>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</si>
  <si>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</si>
  <si>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</si>
  <si>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</si>
  <si>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</si>
  <si>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</si>
  <si>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</si>
  <si>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</si>
  <si>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</si>
  <si>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</si>
  <si>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</si>
  <si>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</si>
  <si>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</si>
  <si>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</si>
  <si>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</si>
  <si>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</si>
  <si>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</si>
  <si>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</si>
  <si>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</si>
  <si>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</si>
  <si>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</si>
  <si>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</si>
  <si>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</si>
  <si>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</si>
  <si>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</si>
  <si>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</si>
  <si>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</si>
  <si>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</si>
  <si>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</si>
  <si>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</si>
  <si>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</si>
  <si>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</si>
  <si>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</si>
  <si>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</si>
  <si>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</si>
  <si>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</si>
  <si>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</si>
  <si>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</si>
  <si>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</si>
  <si>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</si>
  <si>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</si>
  <si>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</si>
  <si>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</si>
  <si>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</si>
  <si>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</si>
  <si>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</si>
  <si>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</si>
  <si>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</si>
  <si>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</si>
  <si>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</si>
  <si>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</si>
  <si>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</si>
  <si>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</si>
  <si>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</si>
  <si>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</si>
  <si>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</si>
  <si>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</si>
  <si>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</si>
  <si>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</si>
  <si>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</si>
  <si>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</si>
  <si>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</si>
  <si>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</si>
  <si>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</si>
  <si>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</si>
  <si>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</si>
  <si>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</si>
  <si>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</si>
  <si>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</si>
  <si>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</si>
  <si>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</si>
  <si>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</si>
  <si>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</si>
  <si>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</si>
  <si>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</si>
  <si>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</si>
  <si>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</si>
  <si>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</si>
  <si>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</si>
  <si>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</si>
  <si>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</si>
  <si>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</si>
  <si>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</si>
  <si>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</si>
  <si>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</si>
  <si>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</si>
  <si>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</si>
  <si>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</si>
  <si>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</si>
  <si>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</si>
  <si>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</si>
  <si>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</si>
  <si>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</si>
  <si>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</si>
  <si>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</si>
  <si>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</si>
  <si>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</si>
  <si>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</si>
  <si>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</si>
  <si>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</si>
  <si>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</si>
  <si>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</si>
  <si>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</si>
  <si>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</si>
  <si>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</si>
  <si>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</si>
  <si>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</si>
  <si>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</si>
  <si>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</si>
  <si>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</si>
  <si>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</si>
  <si>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</si>
  <si>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</si>
  <si>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</si>
  <si>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</si>
  <si>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</si>
  <si>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</si>
  <si>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</si>
  <si>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</si>
  <si>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</si>
  <si>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</si>
  <si>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</si>
  <si>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</si>
  <si>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</si>
  <si>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</si>
  <si>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</si>
  <si>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</si>
  <si>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</si>
  <si>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</si>
  <si>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</si>
  <si>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</si>
  <si>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</si>
  <si>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</si>
  <si>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</si>
  <si>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</si>
  <si>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</si>
  <si>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</si>
  <si>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</si>
  <si>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</si>
  <si>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</si>
  <si>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</si>
  <si>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</si>
  <si>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</si>
  <si>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</si>
  <si>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</si>
  <si>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</si>
  <si>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</si>
  <si>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</si>
  <si>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</si>
  <si>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</si>
  <si>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</si>
  <si>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</si>
  <si>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</si>
  <si>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</si>
  <si>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</si>
  <si>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</si>
  <si>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</si>
  <si>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</si>
  <si>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</si>
  <si>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</si>
  <si>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</si>
  <si>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</si>
  <si>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</si>
  <si>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</si>
  <si>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</si>
  <si>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</si>
  <si>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</si>
  <si>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</si>
  <si>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</si>
  <si>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</si>
  <si>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</si>
  <si>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</si>
  <si>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</si>
  <si>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</si>
  <si>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</si>
  <si>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</si>
  <si>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</si>
  <si>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</si>
  <si>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</si>
  <si>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</si>
  <si>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</si>
  <si>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</si>
  <si>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</si>
  <si>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</si>
  <si>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</si>
  <si>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</si>
  <si>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</si>
  <si>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</si>
  <si>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</si>
  <si>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</si>
  <si>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</si>
  <si>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</si>
  <si>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</si>
  <si>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</si>
  <si>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</si>
  <si>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</si>
  <si>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</si>
  <si>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</si>
  <si>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</si>
  <si>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</si>
  <si>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</si>
  <si>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</si>
  <si>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</si>
  <si>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</si>
  <si>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</si>
  <si>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</si>
  <si>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</si>
  <si>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</si>
  <si>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</si>
  <si>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</si>
  <si>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</si>
  <si>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</si>
  <si>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</si>
  <si>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</si>
  <si>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</si>
  <si>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</si>
  <si>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</si>
  <si>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</si>
  <si>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</si>
  <si>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</si>
  <si>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</si>
  <si>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</si>
  <si>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</si>
  <si>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</si>
  <si>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</si>
  <si>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</si>
  <si>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</si>
  <si>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</si>
  <si>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</si>
  <si>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</si>
  <si>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</si>
  <si>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</si>
  <si>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</si>
  <si>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</si>
  <si>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</si>
  <si>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</si>
  <si>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</si>
  <si>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</si>
  <si>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</si>
  <si>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</si>
  <si>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</si>
  <si>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</si>
  <si>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</si>
  <si>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</si>
  <si>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</si>
  <si>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</si>
  <si>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</si>
  <si>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</si>
  <si>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</si>
  <si>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</si>
  <si>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</si>
  <si>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</si>
  <si>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</si>
  <si>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</si>
  <si>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</si>
  <si>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</si>
  <si>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</si>
  <si>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</si>
  <si>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</si>
  <si>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</si>
  <si>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</si>
  <si>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</si>
  <si>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</si>
  <si>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</si>
  <si>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</si>
  <si>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</si>
  <si>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</si>
  <si>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</si>
  <si>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</si>
  <si>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</si>
  <si>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</si>
  <si>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</si>
  <si>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</si>
  <si>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</si>
  <si>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</si>
  <si>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</si>
  <si>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</si>
  <si>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</si>
  <si>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</si>
  <si>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</si>
  <si>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</si>
  <si>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</si>
  <si>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</si>
  <si>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</si>
  <si>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</si>
  <si>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</si>
  <si>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</si>
  <si>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</si>
  <si>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</si>
  <si>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</si>
  <si>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</si>
  <si>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</si>
  <si>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</si>
  <si>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</si>
  <si>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</si>
  <si>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</si>
  <si>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</si>
  <si>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</si>
  <si>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</si>
  <si>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</si>
  <si>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</si>
  <si>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</si>
  <si>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</si>
  <si>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</si>
  <si>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</si>
  <si>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</si>
  <si>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</si>
  <si>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</si>
  <si>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</si>
  <si>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</si>
  <si>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</si>
  <si>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</si>
  <si>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</si>
  <si>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</si>
  <si>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</si>
  <si>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</si>
  <si>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</si>
  <si>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</si>
  <si>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</si>
  <si>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</si>
  <si>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</si>
  <si>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</si>
  <si>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</si>
  <si>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</si>
  <si>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</si>
  <si>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</si>
  <si>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</si>
  <si>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</si>
  <si>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</si>
  <si>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</si>
  <si>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</si>
  <si>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</si>
  <si>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</si>
  <si>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</si>
  <si>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</si>
  <si>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</si>
  <si>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</si>
  <si>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</si>
  <si>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</si>
  <si>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</si>
  <si>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</si>
  <si>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</si>
  <si>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</si>
  <si>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</si>
  <si>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</si>
  <si>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</si>
  <si>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</si>
  <si>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</si>
  <si>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</si>
  <si>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</si>
  <si>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</si>
  <si>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</si>
  <si>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</si>
  <si>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</si>
  <si>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</si>
  <si>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</si>
  <si>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</si>
  <si>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</si>
  <si>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</si>
  <si>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</si>
  <si>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</si>
  <si>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</si>
  <si>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</si>
  <si>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</si>
  <si>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</si>
  <si>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</si>
  <si>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</si>
  <si>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</si>
  <si>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</si>
  <si>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</si>
  <si>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</si>
  <si>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</si>
  <si>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</si>
  <si>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</si>
  <si>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</si>
  <si>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</si>
  <si>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</si>
  <si>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</si>
  <si>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</si>
  <si>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</si>
  <si>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</si>
  <si>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</si>
  <si>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</si>
  <si>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</si>
  <si>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</si>
  <si>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</si>
  <si>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</si>
  <si>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</si>
  <si>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</si>
  <si>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</si>
  <si>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</si>
  <si>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</si>
  <si>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</si>
  <si>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</si>
  <si>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</si>
  <si>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</si>
  <si>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</si>
  <si>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</si>
  <si>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</si>
  <si>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</si>
  <si>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</si>
  <si>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</si>
  <si>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</si>
  <si>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</si>
  <si>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</si>
  <si>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</si>
  <si>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</si>
  <si>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</si>
  <si>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</si>
  <si>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</si>
  <si>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</si>
  <si>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</si>
  <si>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</si>
  <si>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</si>
  <si>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</si>
  <si>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</si>
  <si>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</si>
  <si>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</si>
  <si>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</si>
  <si>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</si>
  <si>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</si>
  <si>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</si>
  <si>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</si>
  <si>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</si>
  <si>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</si>
  <si>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</si>
  <si>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</si>
  <si>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</si>
  <si>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</si>
  <si>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</si>
  <si>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</si>
  <si>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</si>
  <si>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</si>
  <si>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</si>
  <si>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</si>
  <si>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</si>
  <si>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</si>
  <si>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</si>
  <si>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</si>
  <si>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</si>
  <si>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</si>
  <si>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</si>
  <si>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</si>
  <si>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</si>
  <si>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</si>
  <si>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</si>
  <si>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</si>
  <si>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</si>
  <si>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</si>
  <si>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</si>
  <si>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</si>
  <si>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</si>
  <si>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</si>
  <si>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</si>
  <si>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</si>
  <si>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</si>
  <si>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</si>
  <si>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</si>
  <si>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</si>
  <si>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</si>
  <si>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</si>
  <si>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</si>
  <si>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</si>
  <si>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</si>
  <si>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</si>
  <si>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</si>
  <si>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</si>
  <si>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</si>
  <si>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</si>
  <si>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</si>
  <si>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</si>
  <si>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</si>
  <si>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</si>
  <si>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</si>
  <si>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</si>
  <si>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</si>
  <si>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</si>
  <si>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</si>
  <si>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</si>
  <si>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</si>
  <si>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</si>
  <si>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</si>
  <si>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</si>
  <si>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</si>
  <si>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</si>
  <si>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</si>
  <si>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</si>
  <si>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</si>
  <si>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</si>
  <si>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</si>
  <si>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</si>
  <si>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</si>
  <si>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</si>
  <si>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</si>
  <si>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</si>
  <si>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</si>
  <si>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</si>
  <si>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</si>
  <si>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</si>
  <si>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</si>
  <si>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</si>
  <si>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</si>
  <si>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</si>
  <si>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</si>
  <si>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</si>
  <si>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</si>
  <si>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</si>
  <si>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</si>
  <si>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</si>
  <si>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</si>
  <si>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</si>
  <si>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</si>
  <si>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</si>
  <si>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</si>
  <si>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</si>
  <si>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</si>
  <si>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</si>
  <si>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</si>
  <si>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</si>
  <si>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</si>
  <si>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</si>
  <si>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</si>
  <si>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</si>
  <si>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</si>
  <si>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</si>
  <si>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</si>
  <si>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</si>
  <si>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</si>
  <si>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</si>
  <si>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</si>
  <si>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</si>
  <si>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</si>
  <si>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</si>
  <si>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</si>
  <si>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</si>
  <si>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</si>
  <si>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</si>
  <si>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</si>
  <si>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</si>
  <si>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</si>
  <si>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</si>
  <si>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</si>
  <si>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</si>
  <si>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</si>
  <si>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</si>
  <si>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</si>
  <si>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</si>
  <si>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</si>
  <si>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</si>
  <si>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</si>
  <si>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</si>
  <si>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</si>
  <si>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</si>
  <si>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</si>
  <si>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</si>
  <si>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</si>
  <si>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</si>
  <si>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</si>
  <si>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</si>
  <si>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</si>
  <si>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</si>
  <si>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</si>
  <si>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</si>
  <si>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</si>
  <si>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</si>
  <si>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</si>
  <si>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</si>
  <si>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</si>
  <si>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</si>
  <si>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</si>
  <si>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</si>
  <si>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</si>
  <si>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</si>
  <si>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</si>
  <si>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</si>
  <si>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</si>
  <si>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</si>
  <si>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</si>
  <si>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</si>
  <si>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</si>
  <si>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</si>
  <si>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</si>
  <si>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</si>
  <si>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</si>
  <si>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</si>
  <si>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</si>
  <si>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</si>
  <si>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</si>
  <si>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</si>
  <si>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</si>
  <si>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</si>
  <si>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</si>
  <si>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</si>
  <si>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</si>
  <si>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</si>
  <si>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</si>
  <si>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</si>
  <si>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</si>
  <si>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</si>
  <si>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</si>
  <si>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</si>
  <si>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</si>
  <si>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</si>
  <si>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</si>
  <si>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</si>
  <si>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</si>
  <si>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</si>
  <si>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</si>
  <si>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</si>
  <si>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</si>
  <si>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</si>
  <si>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</si>
  <si>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</si>
  <si>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</si>
  <si>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</si>
  <si>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</si>
  <si>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</si>
  <si>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</si>
  <si>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</si>
  <si>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</si>
  <si>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</si>
  <si>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</si>
  <si>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</si>
  <si>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</si>
  <si>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</si>
  <si>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</si>
  <si>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</si>
  <si>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</si>
  <si>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</si>
  <si>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</si>
  <si>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</si>
  <si>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</si>
  <si>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</si>
  <si>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</si>
  <si>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</si>
  <si>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</si>
  <si>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</si>
  <si>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</si>
  <si>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</si>
  <si>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</si>
  <si>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</si>
  <si>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</si>
  <si>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</si>
  <si>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</si>
  <si>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</si>
  <si>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</si>
  <si>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</si>
  <si>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</si>
  <si>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</si>
  <si>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</si>
  <si>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</si>
  <si>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</si>
  <si>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</si>
  <si>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</si>
  <si>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</si>
  <si>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</si>
  <si>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</si>
  <si>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</si>
  <si>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</si>
  <si>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</si>
  <si>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</si>
  <si>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</si>
  <si>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</si>
  <si>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</si>
  <si>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</si>
  <si>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</si>
  <si>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</si>
  <si>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</si>
  <si>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</si>
  <si>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</si>
  <si>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</si>
  <si>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</si>
  <si>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</si>
  <si>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</si>
  <si>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</si>
  <si>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</si>
  <si>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</si>
  <si>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</si>
  <si>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</si>
  <si>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</si>
  <si>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</si>
  <si>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</si>
  <si>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</si>
  <si>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</si>
  <si>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</si>
  <si>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</si>
  <si>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</si>
  <si>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</si>
  <si>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</si>
  <si>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</si>
  <si>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</si>
  <si>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</si>
  <si>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</si>
  <si>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</si>
  <si>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</si>
  <si>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</si>
  <si>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</si>
  <si>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</si>
  <si>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</si>
  <si>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</si>
  <si>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</si>
  <si>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</si>
  <si>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</si>
  <si>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</si>
  <si>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</si>
  <si>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</si>
  <si>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</si>
  <si>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</si>
  <si>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</si>
  <si>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</si>
  <si>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</si>
  <si>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</si>
  <si>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</si>
  <si>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</si>
  <si>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</si>
  <si>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</si>
  <si>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</si>
  <si>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</si>
  <si>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</si>
  <si>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</si>
  <si>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</si>
  <si>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</si>
  <si>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</si>
  <si>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</si>
  <si>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</si>
  <si>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</si>
  <si>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</si>
  <si>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</si>
  <si>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</si>
  <si>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</si>
  <si>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</si>
  <si>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</si>
  <si>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</si>
  <si>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</si>
  <si>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</si>
  <si>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</si>
  <si>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</si>
  <si>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</si>
  <si>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</si>
  <si>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</si>
  <si>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</si>
  <si>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</si>
  <si>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</si>
  <si>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</si>
  <si>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</si>
  <si>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ticket#@yourdomain.edu</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</si>
  <si>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</si>
  <si>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</si>
  <si>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</si>
  <si>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</si>
  <si>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</si>
  <si>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</si>
  <si>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</si>
  <si>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</si>
  <si>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</si>
  <si>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</si>
  <si>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</si>
  <si>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</si>
  <si>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</si>
  <si>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</si>
  <si>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</si>
  <si>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</si>
  <si>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</si>
  <si>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</si>
  <si>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</si>
  <si>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</si>
  <si>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</si>
  <si>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</si>
  <si>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</si>
  <si>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</si>
  <si>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</si>
  <si>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</si>
  <si>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</si>
  <si>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</si>
  <si>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</si>
  <si>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</si>
  <si>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</si>
  <si>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</si>
  <si>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</si>
  <si>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</si>
  <si>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</si>
  <si>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</si>
  <si>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</si>
  <si>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</si>
  <si>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</si>
  <si>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</si>
  <si>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</si>
  <si>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</si>
  <si>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</si>
  <si>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</si>
  <si>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</si>
  <si>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</si>
  <si>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</si>
  <si>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</si>
  <si>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</si>
  <si>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</si>
  <si>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</si>
  <si>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</si>
  <si>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</si>
  <si>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</si>
  <si>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</si>
  <si>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</si>
  <si>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</si>
  <si>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</si>
  <si>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</si>
  <si>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</si>
  <si>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</si>
  <si>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</si>
  <si>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</si>
  <si>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</si>
  <si>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</si>
  <si>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</si>
  <si>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</si>
  <si>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</si>
  <si>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</si>
  <si>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</si>
  <si>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</si>
  <si>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</si>
  <si>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</si>
  <si>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</si>
  <si>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</si>
  <si>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</si>
  <si>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</si>
  <si>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</si>
  <si>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</si>
  <si>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</si>
  <si>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</si>
  <si>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</si>
  <si>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</si>
  <si>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</si>
  <si>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</si>
  <si>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</si>
  <si>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</si>
  <si>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</si>
  <si>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</si>
  <si>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</si>
  <si>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</si>
  <si>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</si>
  <si>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</si>
  <si>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</si>
  <si>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</si>
  <si>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</si>
  <si>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</si>
  <si>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</si>
  <si>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</si>
  <si>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</si>
  <si>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</si>
  <si>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</si>
  <si>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</si>
  <si>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</si>
  <si>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</si>
  <si>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</si>
  <si>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</si>
  <si>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</si>
  <si>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</si>
  <si>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</si>
  <si>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</si>
  <si>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</si>
  <si>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</si>
  <si>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</si>
  <si>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</si>
  <si>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</si>
  <si>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</si>
  <si>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</si>
  <si>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</si>
  <si>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</si>
  <si>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</si>
  <si>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</si>
  <si>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</si>
  <si>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</si>
  <si>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</si>
  <si>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</si>
  <si>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</si>
  <si>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</si>
  <si>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</si>
  <si>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</si>
  <si>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</si>
  <si>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</si>
  <si>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</si>
  <si>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</si>
  <si>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</si>
  <si>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</si>
  <si>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</si>
  <si>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</si>
  <si>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</si>
  <si>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</si>
  <si>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</si>
  <si>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</si>
  <si>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</si>
  <si>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</si>
  <si>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</si>
  <si>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</si>
  <si>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</si>
  <si>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</si>
  <si>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</si>
  <si>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</si>
  <si>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</si>
  <si>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</si>
  <si>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</si>
  <si>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</si>
  <si>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</si>
  <si>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</si>
  <si>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</si>
  <si>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</si>
  <si>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</si>
  <si>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</si>
  <si>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</si>
  <si>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</si>
  <si>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</si>
  <si>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</si>
  <si>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</si>
  <si>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</si>
  <si>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</si>
  <si>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</si>
  <si>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</si>
  <si>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</si>
  <si>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</si>
  <si>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</si>
  <si>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</si>
  <si>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</si>
  <si>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</si>
  <si>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</si>
  <si>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</si>
  <si>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</si>
  <si>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</si>
  <si>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</si>
  <si>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</si>
  <si>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</si>
  <si>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</si>
  <si>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</si>
  <si>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</si>
  <si>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</si>
  <si>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</si>
  <si>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</si>
  <si>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</si>
  <si>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</si>
  <si>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</si>
  <si>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</si>
  <si>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</si>
  <si>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</si>
  <si>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</si>
  <si>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</si>
  <si>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</si>
  <si>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</si>
  <si>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</si>
  <si>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</si>
  <si>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</si>
  <si>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</si>
  <si>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</si>
  <si>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</si>
  <si>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</si>
  <si>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</si>
  <si>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</si>
  <si>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</si>
  <si>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</si>
  <si>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</si>
  <si>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</si>
  <si>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</si>
  <si>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</si>
  <si>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</si>
  <si>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</si>
  <si>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</si>
  <si>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</si>
  <si>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</si>
  <si>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</si>
  <si>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</si>
  <si>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</si>
  <si>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</si>
  <si>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</si>
  <si>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</si>
  <si>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</si>
  <si>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</si>
  <si>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</si>
  <si>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</si>
  <si>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</si>
  <si>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</si>
  <si>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</si>
  <si>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</si>
  <si>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</si>
  <si>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</si>
  <si>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</si>
  <si>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</si>
  <si>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</si>
  <si>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</si>
  <si>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</si>
  <si>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</si>
  <si>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</si>
  <si>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</si>
  <si>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</si>
  <si>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</si>
  <si>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</si>
  <si>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</si>
  <si>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</si>
  <si>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</si>
  <si>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</si>
  <si>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</si>
  <si>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</si>
  <si>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</si>
  <si>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</si>
  <si>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</si>
  <si>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</si>
  <si>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</si>
  <si>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</si>
  <si>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</si>
  <si>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</si>
  <si>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</si>
  <si>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</si>
  <si>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</si>
  <si>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</si>
  <si>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</si>
  <si>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</si>
  <si>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</si>
  <si>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</si>
  <si>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</si>
  <si>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</si>
  <si>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</si>
  <si>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</si>
  <si>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</si>
  <si>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</si>
  <si>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</si>
  <si>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</si>
  <si>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</si>
  <si>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</si>
  <si>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</si>
  <si>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</si>
  <si>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</si>
  <si>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</si>
  <si>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</si>
  <si>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</si>
  <si>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</si>
  <si>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</si>
  <si>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</si>
  <si>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</si>
  <si>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</si>
  <si>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</si>
  <si>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</si>
  <si>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</si>
  <si>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</si>
  <si>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</si>
  <si>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</si>
  <si>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</si>
  <si>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</si>
  <si>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</si>
  <si>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</si>
  <si>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</si>
  <si>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</si>
  <si>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</si>
  <si>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</si>
  <si>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</si>
  <si>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</si>
  <si>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</si>
  <si>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</si>
  <si>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</si>
  <si>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</si>
  <si>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</si>
  <si>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</si>
  <si>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</si>
  <si>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</si>
  <si>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</si>
  <si>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</si>
  <si>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</si>
  <si>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</si>
  <si>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</si>
  <si>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</si>
  <si>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</si>
  <si>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</si>
  <si>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</si>
  <si>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</si>
  <si>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</si>
  <si>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</si>
  <si>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</si>
  <si>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</si>
  <si>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</si>
  <si>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</si>
  <si>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</si>
  <si>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</si>
  <si>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</si>
  <si>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</si>
  <si>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</si>
  <si>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</si>
  <si>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</si>
  <si>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</si>
  <si>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</si>
  <si>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</si>
  <si>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</si>
  <si>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</si>
  <si>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</si>
  <si>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</si>
  <si>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</si>
  <si>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</si>
  <si>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</si>
  <si>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</si>
  <si>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</si>
  <si>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</si>
  <si>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</si>
  <si>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</si>
  <si>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</si>
  <si>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</si>
  <si>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</si>
  <si>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</si>
  <si>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</si>
  <si>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</si>
  <si>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</si>
  <si>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</si>
  <si>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</si>
  <si>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</si>
  <si>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</si>
  <si>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</si>
  <si>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</si>
  <si>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</si>
  <si>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</si>
  <si>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</si>
  <si>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</si>
  <si>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</si>
  <si>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</si>
  <si>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</si>
  <si>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</si>
  <si>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</si>
  <si>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</si>
  <si>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</si>
  <si>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</si>
  <si>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</si>
  <si>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</si>
  <si>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</si>
  <si>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</si>
  <si>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</si>
  <si>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</si>
  <si>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</si>
  <si>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</si>
  <si>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</si>
  <si>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</si>
  <si>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</si>
  <si>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</si>
  <si>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</si>
  <si>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</si>
  <si>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</si>
  <si>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</si>
  <si>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</si>
  <si>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</si>
  <si>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</si>
  <si>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</si>
  <si>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</si>
  <si>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</si>
  <si>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</si>
  <si>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</si>
  <si>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</si>
  <si>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</si>
  <si>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</si>
  <si>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</si>
  <si>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</si>
  <si>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</si>
  <si>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</si>
  <si>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</si>
  <si>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</si>
  <si>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</si>
  <si>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</si>
  <si>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</si>
  <si>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</si>
  <si>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</si>
  <si>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</si>
  <si>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</si>
  <si>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</si>
  <si>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</si>
  <si>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</si>
  <si>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</si>
  <si>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</si>
  <si>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</si>
  <si>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</si>
  <si>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</si>
  <si>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</si>
  <si>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</si>
  <si>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</si>
  <si>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</si>
  <si>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</si>
  <si>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</si>
  <si>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</si>
  <si>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</si>
  <si>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</si>
  <si>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</si>
  <si>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</si>
  <si>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</si>
  <si>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</si>
  <si>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</si>
  <si>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</si>
  <si>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</si>
  <si>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</si>
  <si>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</si>
  <si>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</si>
  <si>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</si>
  <si>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</si>
  <si>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</si>
  <si>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</si>
  <si>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</si>
  <si>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Institution's Security Analyst/Engineer Name</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</si>
  <si>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</si>
  <si>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</si>
  <si>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</si>
  <si>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</si>
  <si>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</si>
  <si>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</si>
  <si>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</si>
  <si>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</si>
  <si>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</si>
  <si>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</si>
  <si>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</si>
  <si>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</si>
  <si>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</si>
  <si>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</si>
  <si>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</si>
  <si>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</si>
  <si>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</si>
  <si>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</si>
  <si>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</si>
  <si>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</si>
  <si>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</si>
  <si>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</si>
  <si>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</si>
  <si>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</si>
  <si>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</si>
  <si>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</si>
  <si>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</si>
  <si>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</si>
  <si>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</si>
  <si>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</si>
  <si>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</si>
  <si>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</si>
  <si>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</si>
  <si>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</si>
  <si>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</si>
  <si>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Ensure that all parts of FIDP-03 are clearly stated in your response.</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</si>
  <si>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</si>
  <si>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</si>
  <si>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</si>
  <si>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</si>
  <si>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</si>
  <si>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</si>
  <si>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</si>
  <si>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</si>
  <si>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</si>
  <si>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</si>
  <si>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</si>
  <si>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</si>
  <si>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</si>
  <si>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</si>
  <si>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</si>
  <si>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</si>
  <si>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</si>
  <si>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</si>
  <si>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</si>
  <si>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</si>
  <si>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</si>
  <si>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</si>
  <si>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</si>
  <si>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</si>
  <si>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</si>
  <si>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</si>
  <si>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</si>
  <si>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</si>
  <si>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</si>
  <si>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</si>
  <si>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</si>
  <si>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</si>
  <si>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</si>
  <si>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</si>
  <si>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</si>
  <si>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</si>
  <si>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</si>
  <si>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</si>
  <si>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</si>
  <si>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</si>
  <si>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Institution</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</si>
  <si>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</si>
  <si>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</si>
  <si>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</si>
  <si>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</si>
  <si>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</si>
  <si>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</si>
  <si>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</si>
  <si>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</si>
  <si>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</si>
  <si>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</si>
  <si>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</si>
  <si>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 and GNRL-12; populated by the Institution's Security Office</t>
  </si>
  <si>
    <t>GNRL-11</t>
  </si>
  <si>
    <t>GNRL-12</t>
  </si>
  <si>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</si>
  <si>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</si>
  <si>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</si>
  <si>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</si>
  <si>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</si>
  <si>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</si>
  <si>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</si>
  <si>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</si>
  <si>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</si>
  <si>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Does the process described in DATA-23 adhere to DoD 5220.22-M and/or NIST SP 800-88 standards?</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</si>
  <si>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</si>
  <si>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</si>
  <si>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</si>
  <si>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</si>
  <si>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</si>
  <si>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</si>
  <si>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</si>
  <si>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</si>
  <si>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</si>
  <si>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</si>
  <si>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</si>
  <si>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</si>
  <si>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</si>
  <si>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</si>
  <si>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</si>
  <si>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</si>
  <si>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</si>
  <si>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</si>
  <si>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</si>
  <si>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</si>
  <si>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</si>
  <si>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</si>
  <si>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</si>
  <si>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</si>
  <si>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</si>
  <si>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</si>
  <si>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</si>
  <si>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</si>
  <si>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</si>
  <si>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</si>
  <si>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</si>
  <si>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</si>
  <si>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</si>
  <si>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</si>
  <si>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</si>
  <si>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</si>
  <si>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</si>
  <si>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</si>
  <si>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</si>
  <si>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</si>
  <si>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</si>
  <si>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</si>
  <si>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</si>
  <si>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</si>
  <si>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</si>
  <si>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</si>
  <si>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</si>
  <si>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</si>
  <si>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</si>
  <si>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</si>
  <si>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</si>
  <si>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</si>
  <si>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</si>
  <si>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</si>
  <si>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</si>
  <si>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</si>
  <si>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</si>
  <si>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</si>
  <si>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</si>
  <si>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</si>
  <si>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</si>
  <si>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</si>
  <si>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</si>
  <si>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</si>
  <si>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</si>
  <si>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</si>
  <si>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</si>
  <si>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</si>
  <si>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</si>
  <si>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</si>
  <si>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</si>
  <si>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</si>
  <si>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</si>
  <si>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</si>
  <si>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Ask the vendor to summarize the best practices to restrict/control the access given to the institution's end-users without the use of RBAC. Make sure to understand the administrative requirements/overhead introduced in the vendor's environment.</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</si>
  <si>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</si>
  <si>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</si>
  <si>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</si>
  <si>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</si>
  <si>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</si>
  <si>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</si>
  <si>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</si>
  <si>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</si>
  <si>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</si>
  <si>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</si>
  <si>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</si>
  <si>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The vendor's response to this question may reveal the need to ask additional follow-up questions to other responses.</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</si>
  <si>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</si>
  <si>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</si>
  <si>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</si>
  <si>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</si>
  <si>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</si>
  <si>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</si>
  <si>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</si>
  <si>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</si>
  <si>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</si>
  <si>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</si>
  <si>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</si>
  <si>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</si>
  <si>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</si>
  <si>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</si>
  <si>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</si>
  <si>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</si>
  <si>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</si>
  <si>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</si>
  <si>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</si>
  <si>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</si>
  <si>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</si>
  <si>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</si>
  <si>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</si>
  <si>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</si>
  <si>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</si>
  <si>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</si>
  <si>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</si>
  <si>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</si>
  <si>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</si>
  <si>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</si>
  <si>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</si>
  <si>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</si>
  <si>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If the vendor states "No", you can ask for a summary, white paper, or blog. If unable to review the full plan, infer what you can from other BCP question responses.</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</si>
  <si>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</si>
  <si>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</si>
  <si>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</si>
  <si>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</si>
  <si>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</si>
  <si>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</si>
  <si>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</si>
  <si>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</si>
  <si>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</si>
  <si>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</si>
  <si>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</si>
  <si>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</si>
  <si>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</si>
  <si>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</si>
  <si>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</si>
  <si>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</si>
  <si>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</si>
  <si>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</si>
  <si>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</si>
  <si>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</si>
  <si>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</si>
  <si>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</si>
  <si>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</si>
  <si>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</si>
  <si>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</si>
  <si>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</si>
  <si>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</si>
  <si>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</si>
  <si>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</si>
  <si>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</si>
  <si>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</si>
  <si>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</si>
  <si>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</si>
  <si>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</si>
  <si>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</si>
  <si>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</si>
  <si>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</si>
  <si>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</si>
  <si>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</si>
  <si>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</si>
  <si>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</si>
  <si>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</si>
  <si>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</si>
  <si>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</si>
  <si>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</si>
  <si>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</si>
  <si>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</si>
  <si>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A vendor's response should be clear and concise. Be wary of vague responses to this questions and inquire about export specifics, as needed.</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</si>
  <si>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</si>
  <si>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</si>
  <si>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</si>
  <si>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</si>
  <si>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</si>
  <si>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</si>
  <si>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</si>
  <si>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</si>
  <si>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</si>
  <si>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</si>
  <si>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</si>
  <si>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</si>
  <si>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</si>
  <si>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</si>
  <si>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</si>
  <si>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</si>
  <si>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</si>
  <si>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</si>
  <si>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</si>
  <si>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</si>
  <si>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</si>
  <si>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</si>
  <si>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</si>
  <si>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</si>
  <si>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</si>
  <si>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If institutional data is visible by [vendor] system administrators, follow-up with the vendor to understand the scope of visibility, process/procedure that administrators follow, and use cases when administrators are allowed to access (view) institutional data.</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</si>
  <si>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</si>
  <si>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</si>
  <si>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</si>
  <si>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</si>
  <si>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</si>
  <si>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</si>
  <si>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</si>
  <si>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</si>
  <si>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</si>
  <si>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</si>
  <si>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</si>
  <si>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</si>
  <si>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</si>
  <si>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</si>
  <si>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</si>
  <si>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</si>
  <si>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</si>
  <si>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</si>
  <si>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</si>
  <si>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</si>
  <si>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</si>
  <si>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</si>
  <si>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</si>
  <si>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</si>
  <si>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</si>
  <si>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</si>
  <si>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</si>
  <si>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Follow-up inquiries for DRP responsible parties will be institution/implementation specific.</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</si>
  <si>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</si>
  <si>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</si>
  <si>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</si>
  <si>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If the vendor does not have a DRP, point them to https://www.sans.org/reading-room/whitepapers/recovery/disaster-recovery-plan-1164</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</si>
  <si>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</si>
  <si>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</si>
  <si>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</si>
  <si>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</si>
  <si>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</si>
  <si>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</si>
  <si>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</si>
  <si>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</si>
  <si>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</si>
  <si>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</si>
  <si>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</si>
  <si>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</si>
  <si>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</si>
  <si>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</si>
  <si>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</si>
  <si>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</si>
  <si>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</si>
  <si>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</si>
  <si>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</si>
  <si>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</si>
  <si>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</si>
  <si>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</si>
  <si>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</si>
  <si>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</si>
  <si>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</si>
  <si>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</si>
  <si>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</si>
  <si>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</si>
  <si>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</si>
  <si>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</si>
  <si>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</si>
  <si>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</si>
  <si>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</si>
  <si>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If information security principles are not designed into the product lifecycle, point the vendor to OWASP's Secure Coding Practices - Quick Reference Guide at https://www.owasp.org/index.php/OWASP_Secure_Coding_Practices_-_Quick_Reference_Guide</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</si>
  <si>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</si>
  <si>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</si>
  <si>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</si>
  <si>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</si>
  <si>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</si>
  <si>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</si>
  <si>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</si>
  <si>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</si>
  <si>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</si>
  <si>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</si>
  <si>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</si>
  <si>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</si>
  <si>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</si>
  <si>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</si>
  <si>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</si>
  <si>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</si>
  <si>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</si>
  <si>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</si>
  <si>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</si>
  <si>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</si>
  <si>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</si>
  <si>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</si>
  <si>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</si>
  <si>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</si>
  <si>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</si>
  <si>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</si>
  <si>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</si>
  <si>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</si>
  <si>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</si>
  <si>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</si>
  <si>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</si>
  <si>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</si>
  <si>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</si>
  <si>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</si>
  <si>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</si>
  <si>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</si>
  <si>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</si>
  <si>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</si>
  <si>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</si>
  <si>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</si>
  <si>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</si>
  <si>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</si>
  <si>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</si>
  <si>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</si>
  <si>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</si>
  <si>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</si>
  <si>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</si>
  <si>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</si>
  <si>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</si>
  <si>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</si>
  <si>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</si>
  <si>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</si>
  <si>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</si>
  <si>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If "No", inquiry if there are plans to implement these processes. Ask the vendor to summarize their decision behind not scanning their applications for vulnerabilities. Prior to release.</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</si>
  <si>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</si>
  <si>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If a vendor is hesitant to share the report, ask for a summarized version - some insight is better than none.</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</si>
  <si>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</si>
  <si>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</si>
  <si>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</si>
  <si>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</si>
  <si>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</si>
  <si>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</si>
  <si>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</si>
  <si>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</si>
  <si>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</si>
  <si>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</si>
  <si>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t>Higher Education Community Vendor Assessment Tool (HECVAT) - Full - Standards Crosswalk</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</si>
  <si>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</si>
  <si>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</si>
  <si>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</si>
  <si>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</si>
  <si>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</si>
  <si>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</si>
  <si>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</si>
  <si>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</si>
  <si>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</si>
  <si>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</si>
  <si>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</si>
  <si>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</si>
  <si>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Include both end-user and administrative features and functions.</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</si>
  <si>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</si>
  <si>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</si>
  <si>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</si>
  <si>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Reference the Mobile Application section for follow-up review. Many "applications" run in a web-browser and vendors incorrectly respond due to this common word use. Ensure that responses are in the context of true mobile applications, not just web-based systems.</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</si>
  <si>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</si>
  <si>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</si>
  <si>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</si>
  <si>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</si>
  <si>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</si>
  <si>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Normally a vendor will state their overall longevity but not talk about the software/service/product under evaluation. Follow-up's includes specific questions about the origins of the software/service/product and references will be requested.</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</si>
  <si>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</si>
  <si>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</si>
  <si>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</si>
  <si>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</si>
  <si>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</si>
  <si>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</si>
  <si>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</si>
  <si>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Ask the vendor to summarize why a multi-tenant (or other) environment/strategy is implemented and what compensating controls they have in place to ensure appropriate levels of confidentiality and integrity.</t>
  </si>
  <si>
    <t>This question allows a vendor to describe situations in which their software/product/service cannot operate or be supported. The value of this question is relative, depending on the institution's operating environment.</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</si>
  <si>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</si>
  <si>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password/passphrase encrypted storage will be institution/implementation specific.</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</si>
  <si>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</si>
  <si>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 xml:space="preserve">In the context of the CIA triad, this question is focused on availability and is often in need of a follow-up. Understanding the maturing of a vendor's BCP can shed light on many other aspects of a vendor's overall security state. </t>
  </si>
  <si>
    <t>General inquiry for documentation. As BCPs may contain some sensitive data, a robust summary is appropriate in lieu of a full BCPP.</t>
  </si>
  <si>
    <t>Having a BCP and maintaining/updating/testing a BCP are very different. Establishing a responsible party is fundamental to this process and this question looks to verify that within the vendor.</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</si>
  <si>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</si>
  <si>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</si>
  <si>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Testing a BCP is an important action that improves the efficiency and accuracy of a vendor's continuity plans. Vague responses to this question should be met with concern and appropriate follow-up, based on your institutions risk tolerance.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</si>
  <si>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</si>
  <si>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</si>
  <si>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</si>
  <si>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</si>
  <si>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This questions allows the vendor to state their general practices when a customer leaves their environment.</t>
  </si>
  <si>
    <t>When cancelling a software/product/service, an institution will commonly want all institutional data that was provided to a vendor. The vendor's response should verify if the institution can extract data or if it is a manual extraction by vendor staff.</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</si>
  <si>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</si>
  <si>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</si>
  <si>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Standard documentation, relevant to institutions requiring a vendor to maintain a specific Uptime Institute Tier Level.</t>
  </si>
  <si>
    <t xml:space="preserve">In the context of the CIA triad, this question is focused on availability and is often in need of a follow-up. Understanding the maturing of a vendor's DRP can shed light on many other aspects of a vendor's overall security state. </t>
  </si>
  <si>
    <t>Having a DRP and maintaining/updating/testing a DRP are very different. Establishing a responsible party is fundamental to this process and this question looks to verify that within the vendor.</t>
  </si>
  <si>
    <t>General inquiry for documentation. As DRPs may contain some sensitive data, a robust summary is appropriate in lieu of a full DRP.</t>
  </si>
  <si>
    <t>Testing a DRP is an important action that improves the efficiency and accuracy of a vendor's recovery plans. Vague responses to this question should be met with concern and appropriate follow-up, based on your institutions risk tolerance.</t>
  </si>
  <si>
    <t xml:space="preserve">Testing a DRP is an important action that improves the efficiency and accuracy of a vendor's recovery plans. Vague responses to this question should be met with concern and appropriate follow-up, based on your institutions risk tolerance. </t>
  </si>
  <si>
    <t>Ensure that a separation of duties exists in network security configurations. Pay close attention to responsibility overlap in small organizations, where staff often fill multiple roles.</t>
  </si>
  <si>
    <t>The adherence to secure coding best practices better positions a vendor to maintain the CIA triad. Use the knowledge of this response when evaluating other vendor statements, particularly those focused on development and the protection of communications.</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</si>
  <si>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</si>
  <si>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</si>
  <si>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</si>
  <si>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</si>
  <si>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 xml:space="preserve">Integrity and availability are the focus of this question. The existence of a well-documented quality assurance program, with demonstrated and published metrics, may provide insight into the inner workings (mindset) of a vendor.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</si>
  <si>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</si>
  <si>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</si>
  <si>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</si>
  <si>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</si>
  <si>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</si>
  <si>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</si>
  <si>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Completed base formulas for all Guidance fields. Changed Qualifier formatting to make questions readable (and optional).</t>
  </si>
  <si>
    <t>Added tertiary services narrative question (DNS, ISP, etc.).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</si>
  <si>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</si>
  <si>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 xml:space="preserve">Refusal to share diagrams (even sanitized ones) should be met with increased concern. 
Ask for systems architecture diagrams (e.g., Visio, OmniGraffle, etc.). 
Ask for detailed data flow diagrams. </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</si>
  <si>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</si>
  <si>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</si>
  <si>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Follow-up inquiries for system authentication will be unique to your institution (e.g., policy, infrastructure, etc.)</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</si>
  <si>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</si>
  <si>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When data is moved digitally (e.g., cloud provider, vendor-owned facility, etc.) offsite, the policies and implemented procedures are important to know. The protections implemented to prevent compromise will be technical in nature and should be well-documented.</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</si>
  <si>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</si>
  <si>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</si>
  <si>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Have you undergone a SSAE 18 audit?</t>
  </si>
  <si>
    <t>v2.11</t>
  </si>
  <si>
    <t>Updated SSAE 16 to 18.  Fixed reference to Standards crosswalk on Summary Report.</t>
  </si>
  <si>
    <t>Version 2.11</t>
  </si>
  <si>
    <t>Hit Labs, Inc.</t>
  </si>
  <si>
    <t>Pronto</t>
  </si>
  <si>
    <t>Realtime text and video communication app</t>
  </si>
  <si>
    <t>https://pronto.io/privacy/</t>
  </si>
  <si>
    <t>Ben Dolman</t>
  </si>
  <si>
    <t>Chief Technology Officer</t>
  </si>
  <si>
    <t>ben@pronto.io</t>
  </si>
  <si>
    <t>USA</t>
  </si>
  <si>
    <t>We run our service in AWS. Their compliance adherence can be downloaded here: https://aws.amazon.com/compliance/</t>
  </si>
  <si>
    <t>Our AWS service provider has completed CSA self assessment and CAIQ, with results visible here: https://aws.amazon.com/compliance/csa/</t>
  </si>
  <si>
    <t>Our AWS service provider has received the STAR certification, detailed here: https://aws.amazon.com/compliance/csa/</t>
  </si>
  <si>
    <t>All systems are run in environments or tools where Amazon Web Services has run audits or achieved certifications for SOC 1, SOC 2, SOC 3, ISO 9001, ISO 27001, ISO 27017, ISO 27018, as is best practice for FERPA compliance on AWS</t>
  </si>
  <si>
    <t>Pronto's cloud provider, AWS, has achieved FISMA Moderate Authorization and Accreditation from the US General Services Administration</t>
  </si>
  <si>
    <t>Available at https://pronto.io/privacy</t>
  </si>
  <si>
    <t xml:space="preserve">Entity is Hit Labs, Inc., a venture-backed Delaware corporation based in American Fork, Utah. Ownership is divided among founders, employees, and venture capital firms and individual investors. </t>
  </si>
  <si>
    <t>Since Q3 2015</t>
  </si>
  <si>
    <t>Customer Support staff rolls up to the Chief Executive Officer and consists of six employees that handle technical implementation; customer support via live chat, phone, and email support; and ongoing training of customers on a monthly and/or quarterly basis. Product Development staff rolls up to the Chief Technology Officer and consists of eight engineers and two product designers.</t>
  </si>
  <si>
    <t>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t>
  </si>
  <si>
    <t>We perform an annual risk-assessment review of vendors where we evaluate service-level agreements, security measures, and audit results. If necessary we follow-up directly with the vendor with specific security questions to ensure they meet appropriate standards.</t>
  </si>
  <si>
    <t>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t>
  </si>
  <si>
    <t>Amazon Web Services, Inc. - https://aws.amazon.com/agreement/
Pusher Ltd. - https://pusher.com/legal
Twilio, Inc - https://www.twilio.com/legal/tos
Nexmo Inc (dba Vonage) - https://www.vonage.com/legal/unified-communications/enterprise/tos/</t>
  </si>
  <si>
    <t>When evaluating third party vendors with whom will be shared institutional data, Hit Labs seeks reputable partners that express a deep concern for information security and couple that with a reputation and track record that matches.</t>
  </si>
  <si>
    <t>Access controls are highly customizable by an institution, but the default roles can be generally described this way:
1. Admin - Full access to control the organization, create groups, add/delete users, run reports
2. Manager - Send announcements
3. User - Standard app functions</t>
  </si>
  <si>
    <t>See above</t>
  </si>
  <si>
    <t>Hit Labs is a remote work environment with employees distributed across North America. However, as described in our Information Security Policy we take great care to ensure the security of customer data. We follow the principle of least privilege to our production environment and require access via a secure VPN protected via hardware MFA tokens.</t>
  </si>
  <si>
    <t>To access Pronto via the web, a modern web browser is required. There are also minimum OS requirements for the mobile app on iOS and Android. Please see the individual App Store and Play Store listings for up-to-date information on miminum system requirements.</t>
  </si>
  <si>
    <t>Hit Labs uses a variety of databases for different functions, all of which are segregated from front-end systems and have strict security group rules that prevent access from outside the network except via a secure VPN.</t>
  </si>
  <si>
    <t>Please visit https://support.pronto.io to find a series of support articles that describe Pronto's functionality.</t>
  </si>
  <si>
    <t>Pronto runs on mobile devices but does NOT ask for permission to use GPS location data.</t>
  </si>
  <si>
    <t>Unsupported browsers include Internet Explorer and Non-Chromium Edge.</t>
  </si>
  <si>
    <t>Please see the Pronto System Documentation and Pronto Network Diagram documents.</t>
  </si>
  <si>
    <t>Please see the Information Security Policy document</t>
  </si>
  <si>
    <t xml:space="preserve">All services in AWS are redundant within AWS (e.g. load balancers, EC2 servers, Route53 DNS). Tertiary services are not redundant, e.g. one domain name, one logging service, one off-site backup service. Those services may or may not include redundancy within their own implementations.	</t>
  </si>
  <si>
    <t>We are looking to add SAML support in a future release.</t>
  </si>
  <si>
    <t>Logging for user logins includes: date/time, device name/type, IP address.</t>
  </si>
  <si>
    <t xml:space="preserve">Management and security/authorization changes are logged. Security events are also monitored and logged, including login failures. </t>
  </si>
  <si>
    <t xml:space="preserve">They are retained for 90 days; they are not accessible by the customer.	</t>
  </si>
  <si>
    <t>All code is internally reviewed and tested before release. Pronto employs both code-level unit tests and integration tests in a parallel development environment that mirrors production. Security-impacting changes are reviewed by the lead security architect prior to deployment.</t>
  </si>
  <si>
    <t>We are very sensitive to how major changes may affect the Institution and will work closely to ensure they understand the impacts of such changes. Notification may be via phone, text, email.</t>
  </si>
  <si>
    <t>Not applicable. Pronto utilizes One-Time-Passwords for all logins.</t>
  </si>
  <si>
    <t>Please see the Business Continuity and Disaster Recovery Plan</t>
  </si>
  <si>
    <t xml:space="preserve">Please see the Business Continuity and Disaster Recovery Plan	</t>
  </si>
  <si>
    <t>We perform annual security awareness trainings with our entire staff.</t>
  </si>
  <si>
    <t>As a SaaS company that works remotely this is not necessary.</t>
  </si>
  <si>
    <t>Pronto is a SaaS product. In addition, Pronto's mobile apps are distributed through channels that allow only one current release (Apple's App Store and Google's Play Store) so it is not possible to pin a particular institution to a particular release.</t>
  </si>
  <si>
    <t>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t>
  </si>
  <si>
    <t>All customers are on the latest version</t>
  </si>
  <si>
    <t>Specific code-level customizations per-customer are not supported. Pronto does, however, support a large number of application-level customizations that are maintained and migrated between releases.</t>
  </si>
  <si>
    <t>Pronto employs both code-level unit tests and integration tests in a parallel development environment that mirrors production. All code changes must be approved by at least one other authorized member of the team.</t>
  </si>
  <si>
    <t>As a SaaS product, updates are made on an ongoing basis.</t>
  </si>
  <si>
    <t>Emergency changes are always documented via version control and/or in the ticketing system. Deployment approvals must be collected within 2 business days of deployment.</t>
  </si>
  <si>
    <t>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t>
  </si>
  <si>
    <t>The Pronto platform uses a multi-tenant model, where mutliple customers' data is stored in the same database and application logic and foreign keys are used to logically separate one customer's data from the others.</t>
  </si>
  <si>
    <t>All data transport is encrypted via TLS using the current industry standard protocols and ciphers.</t>
  </si>
  <si>
    <t>All data is stored encrypted at-rest using AES-256.</t>
  </si>
  <si>
    <t>New releases are typically pushed after 12:00 AM Eastern.</t>
  </si>
  <si>
    <t>The DevOps team regularly assesses the need for patches and applies them on a regular basis. Please see the Information Security Policy for more detail.</t>
  </si>
  <si>
    <t>Technically, the database instances do possess a public IP address. However, AWS security groups completely restrict traffic to that IP address so that it is not accessible via the public internet. All day-to-day access is via the private network interface through a VPN. We are working toward moving all databases into a private subnet that eliminates the public IP address requirement completely.</t>
  </si>
  <si>
    <t>Data is always encrypted outside of the AWS VPC. Inside the VPC unencrypted connections are used for some system-to-system communication but we are working towards eliminating all of those.</t>
  </si>
  <si>
    <t>Virgina (us-east-1 region)  Amazon Web Services (Primary Data Store)
Oregon (us-west-2 region) - Amazon Web Services (Backup Data Store).</t>
  </si>
  <si>
    <t>Data will be maintained in backups for 60 days</t>
  </si>
  <si>
    <t>60 days</t>
  </si>
  <si>
    <t>Our distributed database is highly fault tolerant, maintaining at least 2 replicas of each piece of data on different hardware nodes, allowing for multiple simultaneous hardware failures. In addition, data is backed up every 2 hours to separate persistent encrypted storage (S3) across multiple regions allowing for minimal-loss recovery in the event of an unlikely catastrophic failure of our entire primary database cluster.
S3 is used for blob storage (photos, videos, files) and provides industry-leading durability and fault-tolerance.</t>
  </si>
  <si>
    <t>Data is backed up every 2 hours to separate persistent encrypted storage (S3) across multiple regions</t>
  </si>
  <si>
    <t>Covered in Customer Terms of Service at https://pronto.io/customer-terms/</t>
  </si>
  <si>
    <t>Backups are replicated to a separate AWS region</t>
  </si>
  <si>
    <t>All files necessary for recovery are stored in the backups.</t>
  </si>
  <si>
    <t xml:space="preserve">We have no plans to take physical backups offsite as we feel our redundacy and backup architecture is sufficient. </t>
  </si>
  <si>
    <t>Please see Information Security Policy</t>
  </si>
  <si>
    <t>Backups are stored in AWS S3 using AES-256 encrypted buckets.</t>
  </si>
  <si>
    <t>We have not yet formalized this policy</t>
  </si>
  <si>
    <t xml:space="preserve">Long-term retention handled by storing encrypted data in AWS S3, which includes physical and environmental security and redundancy. </t>
  </si>
  <si>
    <t>Please see the FERPA Statement</t>
  </si>
  <si>
    <t>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t>
  </si>
  <si>
    <t>All data elements are stored at-rest using AES-256 encryption.</t>
  </si>
  <si>
    <t>Amazon Web Services</t>
  </si>
  <si>
    <t>Within the VPC, subnets and security groups are used to segment access.</t>
  </si>
  <si>
    <t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t>
  </si>
  <si>
    <t>AWS guarantees that the data remains in the United States both at rest and while being transferred between regions.</t>
  </si>
  <si>
    <t>For more information see https://aws.amazon.com/compliance/uptimeinstitute/</t>
  </si>
  <si>
    <t>Pronto utilizes One-Time-Passwords for all logins.</t>
  </si>
  <si>
    <t>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t>
  </si>
  <si>
    <t xml:space="preserve">Provided by AWS </t>
  </si>
  <si>
    <t>Please see https://aws.amazon.com/compliance/data-center/controls/</t>
  </si>
  <si>
    <t>Ben Dolman, CTO, Hit Labs, Inc.</t>
  </si>
  <si>
    <t>We plan to conduct a test in 2021 and yearly thereafter</t>
  </si>
  <si>
    <t>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t>
  </si>
  <si>
    <t>Pronto is the core product offering of Hit Labs and would receive the top priority.</t>
  </si>
  <si>
    <t>Hit Labs carries cyber-insurance for $3,000,000 per incident and $3,000,000 aggregate.</t>
  </si>
  <si>
    <t>Only the Development Operations team has authority to change firewall rules</t>
  </si>
  <si>
    <t>Amazon GuardDuty</t>
  </si>
  <si>
    <t>Under consideration</t>
  </si>
  <si>
    <t>Internally. Amazon GuardDuty is configured to send email alerts to the DevOps team upon any potential threat.</t>
  </si>
  <si>
    <t>All changes are logged in Amazon CloudTrail</t>
  </si>
  <si>
    <t>Web traffic is routed through AWS CloudFront so that web application servers are never exposed directly to internet traffic. We are in the process of testing WAF in both CloudFront and on load balanders.</t>
  </si>
  <si>
    <t>iOS 11.0 and up, Android 5.0 and up</t>
  </si>
  <si>
    <t>Apple App Store, Google Play Store: Pronto Team Communication</t>
  </si>
  <si>
    <t>Transmitted data includes user profile information (name, profile picture, email/phone), message data (text, photos, videos), live video/audio (when utilizing the Pronto Meetings feature).</t>
  </si>
  <si>
    <t>Encrypted data transport is required for all client/server communication</t>
  </si>
  <si>
    <t>Data is stored encrypted on devices according to the Operating System.</t>
  </si>
  <si>
    <t>We do not have plans to support these forms of authentication</t>
  </si>
  <si>
    <t>The development team is well versed in secure coding practices, including security by design, code reviews, and testing.</t>
  </si>
  <si>
    <t>While we do have plans to perform vulnerability testing on our server applications, we do not currently have plans for mobile app vulnerability testing.</t>
  </si>
  <si>
    <t>We do not have a seperate information security unit. However, security plays an important role in all aspects of Development, DevOps, and 3rd party security oversight. Please see our information security policy for details.</t>
  </si>
  <si>
    <t>As Hit Labs employees work remotely, limited Development Operations staff have access to Institution's data from their homes. This data is protected through both policy and technical safeguards:
1. Criminal background checks are performed on new hires
2. Institution data may only be accessed via company-controlled laptops (no mobile phones), which, via enforced machine policy, require full-disk encryption, complex rotating passwords, and aggressive screen locking.
3. Institution data must be accessed via a secure VPN that requires hardware-based MFA.
4. Institution data may not be exported to external devices
5. Institution data may not be retained on employee's hard drive except temporarily as needed to accomplish a specfic, approved task, and then deleted.
For full details see Information Security Policy</t>
  </si>
  <si>
    <t xml:space="preserve">We review each institutions IT policies prior to commencement of work. </t>
  </si>
  <si>
    <t>Criminal background checks are performed for all new employees prior to their first day of work.</t>
  </si>
  <si>
    <t>They are required to review and conform with our Information Security Policy.</t>
  </si>
  <si>
    <t>Annual trainings include topics such as controls, risk management, preventing cyber attacks, mobile device loss, etc.</t>
  </si>
  <si>
    <t>Employees are required to attend a security awareness training annually.</t>
  </si>
  <si>
    <t>Access to information attests is reviewed periodically to ensure ongoing compliance with access policies</t>
  </si>
  <si>
    <t>We are in the process of completing a SOC-2 Type I audit that will be completed in Q2 2021, and will then perform annual Type II audits.</t>
  </si>
  <si>
    <t xml:space="preserve">We gather this feedback during security compliance reviews, interactions with clients, and our own scan of potential weaknesses/threats. </t>
  </si>
  <si>
    <t>Institutions may request a pilot of Pronto.</t>
  </si>
  <si>
    <t xml:space="preserve">New builds always go into a test environment where, through a combination of manual and automated testing, they are evaluated for bugs.  Issues identified on production are resolved as quickly as possible after patches are rigourously tested again on sandbox and staging environments. </t>
  </si>
  <si>
    <t>We do not currently have a plans to be certified as ISO 9001 compliant.</t>
  </si>
  <si>
    <t>This answer varies by the institution making the request. Please contact us.</t>
  </si>
  <si>
    <t xml:space="preserve">We do not currently have formal plans to take this on as a formal responsibility. </t>
  </si>
  <si>
    <t>Hit Labs provides a 99.85% Service Level Agreement. Uptime status is available at https://status.pronto.io</t>
  </si>
  <si>
    <t>Mobile devices are not used to access any system level resources.</t>
  </si>
  <si>
    <t>All management tasks require the use of a secure VPN protected by hardware-based MFA tokens from computers secured by the company's device-management program.</t>
  </si>
  <si>
    <t>Change to system configurations happen directly via the AWS management console or through the AWS CLI. Only limited authorized DevOps personal have access, and all changes are logged.</t>
  </si>
  <si>
    <t>We use GitHub Code Scanning to alert us of vulnerabilities in externally used libraries.</t>
  </si>
  <si>
    <t>Once we have completed security scans, the results will be available upon request from the institution.</t>
  </si>
  <si>
    <t>Our developers follow a security-by-design paradigm, and all code is reviewed by another engineer prior to release. We are also working to implement static code analysis and vulnerability scanning to add an additional layer of protection.</t>
  </si>
  <si>
    <t>Please coordinate with the Customer Success team.</t>
  </si>
  <si>
    <t xml:space="preserve">We plan to implement external vulnerability scanning by end of Q2 2021 </t>
  </si>
  <si>
    <t>We plan to implement external vulnerability scanning by end of Q2 2021</t>
  </si>
  <si>
    <t xml:space="preserve">Our engineering team follows the principles of OWASP. </t>
  </si>
  <si>
    <t>Though we do not currently have a dedicated InfoSec staff at the present time, members of our engineering team have extensive experience in data privacy, security, and compliance and InfoSec is a constant high priority in the company. We do have plans to form a dedicated team in the future.</t>
  </si>
  <si>
    <t>Please see Pronto System Documentation and Pronto Network Diagram.</t>
  </si>
  <si>
    <t>CentOS, AWS Linux, Ubuntu</t>
  </si>
  <si>
    <t>We currently have over 60 higher education customers. References:
Boston University
Ernie Perez, 
Director, Educational Technology
ern@bu.edu
California State University, Northridge
Andrea Koosa
Instructional Technologist
andreea.kosa@csun.edu
Glendale Community College
Katie Datko
Instructional Designer
cdatko@glendale.edu</t>
  </si>
  <si>
    <t>Zach Mangum, CEO</t>
  </si>
  <si>
    <t>We are planning a test by the end of Q2 2021</t>
  </si>
  <si>
    <t>Hit Labs plans on shorter time horizons to be more responsive to customer needs, which change rapidly. Please contact us and we are more than happy to discuss our current roadmap.</t>
  </si>
  <si>
    <t xml:space="preserve">We currently have no plans (or a percieved requirement) to adhere to these standards. </t>
  </si>
  <si>
    <t>Hit Labs utilizes only open standards for encryption.</t>
  </si>
  <si>
    <t>Unit tests are run automatically prior to deployment</t>
  </si>
  <si>
    <t>We plan to build a SLDC process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</si>
</sst>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7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sz val="11"/>
      <color indexed="8"/>
      <name val="Verdana"/>
      <family val="2"/>
    </font>
    <font>
      <sz val="11"/>
      <color rgb="FF000000"/>
      <name val="Verdana"/>
      <family val="2"/>
    </font>
    <font>
      <sz val="11"/>
      <name val="Verdana"/>
      <family val="2"/>
    </font>
    <font>
      <b/>
      <sz val="16"/>
      <color theme="0"/>
      <name val="Verdana"/>
      <family val="2"/>
    </font>
    <font>
      <sz val="12"/>
      <name val="Verdana"/>
      <family val="2"/>
    </font>
    <font>
      <sz val="11"/>
      <name val="Verdana"/>
      <family val="2"/>
    </font>
    <font>
      <sz val="11"/>
      <color rgb="FF000000"/>
      <name val="Verdana"/>
      <family val="2"/>
    </font>
  </fonts>
  <fills count="23">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
      <patternFill patternType="solid">
        <fgColor rgb="FFFFFFFF"/>
        <bgColor rgb="FF000000"/>
      </patternFill>
    </fill>
  </fills>
  <borders count="2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5"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69">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0" borderId="0" xfId="0" applyFont="1" applyAlignment="1">
      <alignment vertical="top" wrapText="1"/>
    </xf>
    <xf numFmtId="165" fontId="38"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8" fillId="0" borderId="0" xfId="14" applyFont="1" applyAlignment="1">
      <alignment vertical="top"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8"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49" fillId="0" borderId="0" xfId="0" applyFont="1" applyAlignment="1">
      <alignment vertical="top" wrapText="1"/>
    </xf>
    <xf numFmtId="0" fontId="50" fillId="0" borderId="8" xfId="0" applyFont="1" applyBorder="1" applyAlignment="1">
      <alignment wrapText="1"/>
    </xf>
    <xf numFmtId="0" fontId="50" fillId="0" borderId="0" xfId="0" applyFont="1" applyAlignment="1">
      <alignment vertical="top" wrapText="1"/>
    </xf>
    <xf numFmtId="0" fontId="49" fillId="0" borderId="8" xfId="0" applyFont="1" applyBorder="1" applyAlignment="1">
      <alignment horizontal="center" wrapText="1"/>
    </xf>
    <xf numFmtId="0" fontId="50" fillId="9" borderId="8" xfId="0" applyFont="1" applyFill="1" applyBorder="1" applyAlignment="1">
      <alignment wrapText="1"/>
    </xf>
    <xf numFmtId="0" fontId="49" fillId="0" borderId="8" xfId="0" applyFont="1" applyBorder="1" applyAlignment="1">
      <alignment wrapText="1"/>
    </xf>
    <xf numFmtId="0" fontId="49" fillId="0" borderId="8" xfId="0" applyFont="1" applyBorder="1" applyAlignment="1">
      <alignment horizontal="right" wrapText="1"/>
    </xf>
    <xf numFmtId="165" fontId="49" fillId="0" borderId="0" xfId="0" applyNumberFormat="1" applyFont="1" applyAlignment="1">
      <alignment vertical="top" wrapText="1"/>
    </xf>
    <xf numFmtId="0" fontId="49" fillId="0" borderId="0" xfId="0" applyFont="1" applyBorder="1" applyAlignment="1">
      <alignment vertical="top" wrapText="1"/>
    </xf>
    <xf numFmtId="0" fontId="50" fillId="0" borderId="13" xfId="0" applyFont="1" applyBorder="1" applyAlignment="1">
      <alignment wrapText="1"/>
    </xf>
    <xf numFmtId="0" fontId="50" fillId="0" borderId="0" xfId="0" applyFont="1" applyBorder="1" applyAlignment="1">
      <alignment vertical="top" wrapText="1"/>
    </xf>
    <xf numFmtId="0" fontId="49" fillId="0" borderId="13" xfId="0" applyFont="1" applyBorder="1" applyAlignment="1">
      <alignment horizontal="center" wrapText="1"/>
    </xf>
    <xf numFmtId="0" fontId="50" fillId="9" borderId="13" xfId="0" applyFont="1" applyFill="1" applyBorder="1" applyAlignment="1">
      <alignment wrapText="1"/>
    </xf>
    <xf numFmtId="0" fontId="49" fillId="0" borderId="13" xfId="0" applyFont="1" applyBorder="1" applyAlignment="1">
      <alignment wrapText="1"/>
    </xf>
    <xf numFmtId="0" fontId="49" fillId="0" borderId="13" xfId="0" applyFont="1" applyBorder="1" applyAlignment="1">
      <alignment horizontal="right" wrapText="1"/>
    </xf>
    <xf numFmtId="165" fontId="49"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6" fillId="9" borderId="3" xfId="0" applyFont="1" applyFill="1" applyBorder="1" applyAlignment="1">
      <alignment vertical="center" wrapText="1"/>
    </xf>
    <xf numFmtId="0" fontId="38" fillId="9" borderId="3" xfId="0" applyFont="1"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3"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7"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5"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7"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8" fillId="0" borderId="0" xfId="0" applyFont="1" applyFill="1" applyBorder="1" applyAlignment="1">
      <alignment vertical="center" wrapText="1"/>
    </xf>
    <xf numFmtId="0" fontId="59" fillId="0" borderId="0" xfId="0" applyFont="1" applyAlignment="1"/>
    <xf numFmtId="0" fontId="25" fillId="0" borderId="0" xfId="0" applyFont="1" applyAlignment="1"/>
    <xf numFmtId="0" fontId="57"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3" fillId="0" borderId="0" xfId="0" pivotButton="1" applyFont="1" applyAlignment="1">
      <alignment vertical="top" wrapText="1"/>
    </xf>
    <xf numFmtId="0" fontId="43" fillId="0" borderId="0" xfId="0" applyFont="1" applyAlignment="1">
      <alignment horizontal="left" vertical="top" wrapText="1"/>
    </xf>
    <xf numFmtId="165" fontId="43" fillId="0" borderId="0" xfId="0" applyNumberFormat="1" applyFont="1" applyAlignment="1">
      <alignment horizontal="lef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8" xfId="0" applyFont="1" applyBorder="1" applyAlignment="1">
      <alignment vertical="center" wrapText="1"/>
    </xf>
    <xf numFmtId="0" fontId="39"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61" fillId="2" borderId="3" xfId="0" applyNumberFormat="1" applyFont="1" applyFill="1" applyBorder="1" applyAlignment="1">
      <alignment horizontal="center" vertical="center" wrapText="1"/>
    </xf>
    <xf numFmtId="1" fontId="61" fillId="2" borderId="3" xfId="0" applyNumberFormat="1" applyFont="1" applyFill="1" applyBorder="1" applyAlignment="1">
      <alignment horizontal="left" vertical="center" wrapText="1"/>
    </xf>
    <xf numFmtId="0" fontId="63" fillId="4" borderId="3" xfId="0" applyNumberFormat="1" applyFont="1" applyFill="1" applyBorder="1" applyAlignment="1">
      <alignment vertical="center" wrapText="1"/>
    </xf>
    <xf numFmtId="0" fontId="63" fillId="3" borderId="3" xfId="0" applyNumberFormat="1" applyFont="1" applyFill="1" applyBorder="1" applyAlignment="1">
      <alignment horizontal="left" vertical="center" wrapText="1"/>
    </xf>
    <xf numFmtId="0" fontId="63" fillId="9" borderId="3" xfId="0" applyFont="1" applyFill="1" applyBorder="1" applyAlignment="1">
      <alignment horizontal="left" vertical="center" wrapText="1"/>
    </xf>
    <xf numFmtId="0" fontId="65" fillId="21" borderId="3" xfId="0" applyFont="1" applyFill="1" applyBorder="1" applyAlignment="1">
      <alignment horizontal="left" vertical="center" wrapText="1"/>
    </xf>
    <xf numFmtId="0" fontId="65" fillId="0" borderId="3" xfId="0" applyFont="1" applyBorder="1" applyAlignment="1">
      <alignment vertical="center" wrapText="1"/>
    </xf>
    <xf numFmtId="1" fontId="65" fillId="21" borderId="3" xfId="0" applyNumberFormat="1" applyFont="1" applyFill="1" applyBorder="1" applyAlignment="1">
      <alignment vertical="center" wrapText="1"/>
    </xf>
    <xf numFmtId="0" fontId="65" fillId="0" borderId="3" xfId="0" applyFont="1" applyBorder="1" applyAlignment="1">
      <alignment horizontal="left" vertical="center" wrapText="1"/>
    </xf>
    <xf numFmtId="0" fontId="66" fillId="0" borderId="3" xfId="0" applyFont="1" applyBorder="1" applyAlignment="1">
      <alignment horizontal="left" vertical="center" wrapText="1"/>
    </xf>
    <xf numFmtId="1" fontId="65" fillId="21" borderId="3" xfId="0" applyNumberFormat="1" applyFont="1" applyFill="1" applyBorder="1" applyAlignment="1">
      <alignment horizontal="left" vertical="center" wrapText="1"/>
    </xf>
    <xf numFmtId="0" fontId="65" fillId="3" borderId="3" xfId="0" applyNumberFormat="1" applyFont="1" applyFill="1" applyBorder="1" applyAlignment="1">
      <alignment horizontal="left" vertical="center" wrapText="1"/>
    </xf>
    <xf numFmtId="1" fontId="65" fillId="3" borderId="3" xfId="0" applyNumberFormat="1" applyFont="1" applyFill="1" applyBorder="1" applyAlignment="1">
      <alignment horizontal="left" vertical="center" wrapText="1"/>
    </xf>
    <xf numFmtId="1" fontId="63" fillId="3" borderId="3" xfId="0" applyNumberFormat="1" applyFont="1" applyFill="1" applyBorder="1" applyAlignment="1">
      <alignment horizontal="left" vertical="center" wrapText="1"/>
    </xf>
    <xf numFmtId="0" fontId="64" fillId="9" borderId="3" xfId="0" applyFont="1" applyFill="1" applyBorder="1" applyAlignment="1">
      <alignment horizontal="left" vertical="center" wrapText="1"/>
    </xf>
    <xf numFmtId="0" fontId="64" fillId="3" borderId="3" xfId="0" applyNumberFormat="1" applyFont="1" applyFill="1" applyBorder="1" applyAlignment="1">
      <alignment horizontal="left" vertical="center" wrapText="1"/>
    </xf>
    <xf numFmtId="1" fontId="64" fillId="3" borderId="3" xfId="0" applyNumberFormat="1" applyFont="1" applyFill="1" applyBorder="1" applyAlignment="1">
      <alignment horizontal="left" vertical="center" wrapText="1"/>
    </xf>
    <xf numFmtId="0" fontId="66" fillId="0" borderId="3" xfId="0" applyFont="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6"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42"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1" fontId="69" fillId="21" borderId="5" xfId="0" applyNumberFormat="1" applyFont="1" applyFill="1" applyBorder="1" applyAlignment="1">
      <alignment vertical="center" wrapText="1"/>
    </xf>
    <xf numFmtId="1" fontId="69" fillId="0" borderId="5" xfId="0" applyNumberFormat="1" applyFont="1" applyBorder="1" applyAlignment="1">
      <alignment vertical="center" wrapText="1"/>
    </xf>
    <xf numFmtId="1" fontId="70" fillId="21" borderId="5" xfId="0" applyNumberFormat="1" applyFont="1" applyFill="1" applyBorder="1" applyAlignment="1">
      <alignment vertical="center" wrapText="1"/>
    </xf>
    <xf numFmtId="0" fontId="70" fillId="21" borderId="5" xfId="0" applyFont="1" applyFill="1" applyBorder="1" applyAlignment="1">
      <alignment horizontal="center" vertical="center" wrapText="1"/>
    </xf>
    <xf numFmtId="0" fontId="1" fillId="9" borderId="3" xfId="0" applyFont="1" applyFill="1" applyBorder="1" applyAlignment="1">
      <alignment vertical="center" wrapText="1"/>
    </xf>
    <xf numFmtId="1" fontId="25" fillId="22" borderId="3" xfId="0" applyNumberFormat="1" applyFont="1" applyFill="1" applyBorder="1" applyAlignment="1">
      <alignment vertical="center" wrapText="1"/>
    </xf>
    <xf numFmtId="1" fontId="25" fillId="21" borderId="5" xfId="0" applyNumberFormat="1" applyFont="1" applyFill="1" applyBorder="1" applyAlignment="1">
      <alignmen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2" fillId="17" borderId="3" xfId="17"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67" fillId="16" borderId="1" xfId="0" applyFont="1" applyFill="1" applyBorder="1" applyAlignment="1">
      <alignment horizontal="center" vertical="center" wrapText="1"/>
    </xf>
    <xf numFmtId="0" fontId="67" fillId="16"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2" fillId="17"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3" borderId="3" xfId="0" applyNumberFormat="1" applyFont="1" applyFill="1" applyBorder="1" applyAlignment="1">
      <alignment horizontal="left" vertical="center" wrapText="1"/>
    </xf>
    <xf numFmtId="9"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45" fillId="0" borderId="3" xfId="15" applyNumberFormat="1" applyFill="1" applyBorder="1" applyAlignment="1">
      <alignment horizontal="left" vertical="center" wrapText="1"/>
    </xf>
    <xf numFmtId="0" fontId="7" fillId="16"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6"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70" fillId="21" borderId="24" xfId="0" applyFont="1" applyFill="1" applyBorder="1" applyAlignment="1">
      <alignment horizontal="left" vertical="center" wrapText="1"/>
    </xf>
    <xf numFmtId="0" fontId="68" fillId="0" borderId="6" xfId="0" applyFont="1" applyBorder="1">
      <alignment vertical="top" wrapText="1"/>
    </xf>
    <xf numFmtId="0" fontId="1" fillId="9" borderId="3" xfId="0" applyFont="1" applyFill="1" applyBorder="1" applyAlignment="1">
      <alignment vertical="center" wrapText="1"/>
    </xf>
    <xf numFmtId="0" fontId="38" fillId="9" borderId="3" xfId="0" applyFont="1" applyFill="1" applyBorder="1" applyAlignment="1">
      <alignment vertical="center" wrapText="1"/>
    </xf>
    <xf numFmtId="0" fontId="3" fillId="3" borderId="1" xfId="0" applyNumberFormat="1" applyFont="1" applyFill="1" applyBorder="1" applyAlignment="1">
      <alignment horizontal="left" vertical="center" wrapText="1"/>
    </xf>
    <xf numFmtId="0" fontId="3" fillId="3" borderId="2"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0" borderId="3" xfId="0" applyFont="1" applyBorder="1" applyAlignment="1">
      <alignment horizontal="center" vertical="center" wrapText="1"/>
    </xf>
    <xf numFmtId="0" fontId="53" fillId="0" borderId="0" xfId="0" applyFont="1" applyAlignment="1">
      <alignment horizontal="center" vertical="center" wrapText="1"/>
    </xf>
    <xf numFmtId="0" fontId="8" fillId="4" borderId="3" xfId="0"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61" fillId="2" borderId="3" xfId="0" applyNumberFormat="1" applyFont="1" applyFill="1" applyBorder="1" applyAlignment="1">
      <alignment horizontal="left" vertical="center" wrapText="1"/>
    </xf>
    <xf numFmtId="0" fontId="62"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58" fillId="20" borderId="1" xfId="0" applyFont="1" applyFill="1" applyBorder="1" applyAlignment="1">
      <alignment horizontal="left" vertical="center" wrapText="1"/>
    </xf>
    <xf numFmtId="0" fontId="58" fillId="20" borderId="4" xfId="0" applyFont="1" applyFill="1" applyBorder="1" applyAlignment="1">
      <alignment horizontal="left" vertical="center" wrapText="1"/>
    </xf>
    <xf numFmtId="0" fontId="58" fillId="20" borderId="2"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60" fillId="8" borderId="4" xfId="0" applyFont="1" applyFill="1" applyBorder="1" applyAlignment="1">
      <alignment horizontal="left" vertical="center" wrapText="1"/>
    </xf>
    <xf numFmtId="0" fontId="60"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4">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5">
                  <c:v>Third Parties</c:v>
                </c:pt>
                <c:pt idx="16">
                  <c:v>Business Continuity Plan</c:v>
                </c:pt>
                <c:pt idx="17">
                  <c:v>Disaster Recovery Plan</c:v>
                </c:pt>
              </c:strCache>
            </c:strRef>
          </c:cat>
          <c:val>
            <c:numRef>
              <c:f>Questions!$Y$2:$Y$21</c:f>
              <c:numCache>
                <c:formatCode>0.00%</c:formatCode>
                <c:ptCount val="20"/>
                <c:pt idx="0">
                  <c:v>0.61904761904761907</c:v>
                </c:pt>
                <c:pt idx="1">
                  <c:v>0.53333333333333333</c:v>
                </c:pt>
                <c:pt idx="2">
                  <c:v>0.30136986301369861</c:v>
                </c:pt>
                <c:pt idx="3">
                  <c:v>0.5636363636363636</c:v>
                </c:pt>
                <c:pt idx="4">
                  <c:v>0.41666666666666669</c:v>
                </c:pt>
                <c:pt idx="5">
                  <c:v>0.69026548672566368</c:v>
                </c:pt>
                <c:pt idx="6">
                  <c:v>1</c:v>
                </c:pt>
                <c:pt idx="7">
                  <c:v>0.70967741935483875</c:v>
                </c:pt>
                <c:pt idx="8">
                  <c:v>0.41509433962264153</c:v>
                </c:pt>
                <c:pt idx="9">
                  <c:v>0.75</c:v>
                </c:pt>
                <c:pt idx="10">
                  <c:v>0.90476190476190477</c:v>
                </c:pt>
                <c:pt idx="11">
                  <c:v>0.2857142857142857</c:v>
                </c:pt>
                <c:pt idx="12">
                  <c:v>0.35294117647058826</c:v>
                </c:pt>
                <c:pt idx="13" formatCode="0%">
                  <c:v>0</c:v>
                </c:pt>
                <c:pt idx="14" formatCode="0%">
                  <c:v>0.43396226415094341</c:v>
                </c:pt>
                <c:pt idx="15" formatCode="0%">
                  <c:v>0</c:v>
                </c:pt>
                <c:pt idx="16" formatCode="0%">
                  <c:v>0.64</c:v>
                </c:pt>
                <c:pt idx="17" formatCode="0%">
                  <c:v>0.66</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5">
                  <c:v>Third Parties</c:v>
                </c:pt>
                <c:pt idx="16">
                  <c:v>Business Continuity Plan</c:v>
                </c:pt>
                <c:pt idx="17">
                  <c:v>Disaster Recovery Plan</c:v>
                </c:pt>
              </c:strCache>
            </c:strRef>
          </c:cat>
          <c:val>
            <c:numRef>
              <c:f>Questions!$Y$2:$Y$21</c:f>
              <c:numCache>
                <c:formatCode>0.00%</c:formatCode>
                <c:ptCount val="20"/>
                <c:pt idx="0">
                  <c:v>0.61904761904761907</c:v>
                </c:pt>
                <c:pt idx="1">
                  <c:v>0.53333333333333333</c:v>
                </c:pt>
                <c:pt idx="2">
                  <c:v>0.30136986301369861</c:v>
                </c:pt>
                <c:pt idx="3">
                  <c:v>0.5636363636363636</c:v>
                </c:pt>
                <c:pt idx="4">
                  <c:v>0.41666666666666669</c:v>
                </c:pt>
                <c:pt idx="5">
                  <c:v>0.69026548672566368</c:v>
                </c:pt>
                <c:pt idx="6">
                  <c:v>1</c:v>
                </c:pt>
                <c:pt idx="7">
                  <c:v>0.70967741935483875</c:v>
                </c:pt>
                <c:pt idx="8">
                  <c:v>0.41509433962264153</c:v>
                </c:pt>
                <c:pt idx="9">
                  <c:v>0.75</c:v>
                </c:pt>
                <c:pt idx="10">
                  <c:v>0.90476190476190477</c:v>
                </c:pt>
                <c:pt idx="11">
                  <c:v>0.2857142857142857</c:v>
                </c:pt>
                <c:pt idx="12">
                  <c:v>0.35294117647058826</c:v>
                </c:pt>
                <c:pt idx="13" formatCode="0%">
                  <c:v>0</c:v>
                </c:pt>
                <c:pt idx="14" formatCode="0%">
                  <c:v>0.43396226415094341</c:v>
                </c:pt>
                <c:pt idx="15" formatCode="0%">
                  <c:v>0</c:v>
                </c:pt>
                <c:pt idx="16" formatCode="0%">
                  <c:v>0.64</c:v>
                </c:pt>
                <c:pt idx="17" formatCode="0%">
                  <c:v>0.66</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89">
      <pivotArea type="all" dataOnly="0" outline="0" fieldPosition="0"/>
    </format>
    <format dxfId="2388">
      <pivotArea field="0" type="button" dataOnly="0" labelOnly="1" outline="0" axis="axisRow" fieldPosition="0"/>
    </format>
    <format dxfId="238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4">
      <pivotArea dataOnly="0" labelOnly="1" fieldPosition="0">
        <references count="1">
          <reference field="0" count="18">
            <x v="225"/>
            <x v="226"/>
            <x v="227"/>
            <x v="228"/>
            <x v="229"/>
            <x v="230"/>
            <x v="231"/>
            <x v="232"/>
            <x v="233"/>
            <x v="234"/>
            <x v="235"/>
            <x v="236"/>
            <x v="237"/>
            <x v="238"/>
            <x v="239"/>
            <x v="240"/>
            <x v="241"/>
            <x v="242"/>
          </reference>
        </references>
      </pivotArea>
    </format>
    <format dxfId="2383">
      <pivotArea dataOnly="0" labelOnly="1" grandRow="1" outline="0" fieldPosition="0"/>
    </format>
    <format dxfId="2382">
      <pivotArea dataOnly="0" labelOnly="1" fieldPosition="0">
        <references count="2">
          <reference field="0" count="1" selected="0">
            <x v="0"/>
          </reference>
          <reference field="1" count="1">
            <x v="228"/>
          </reference>
        </references>
      </pivotArea>
    </format>
    <format dxfId="2381">
      <pivotArea dataOnly="0" labelOnly="1" fieldPosition="0">
        <references count="2">
          <reference field="0" count="1" selected="0">
            <x v="2"/>
          </reference>
          <reference field="1" count="1">
            <x v="230"/>
          </reference>
        </references>
      </pivotArea>
    </format>
    <format dxfId="2380">
      <pivotArea dataOnly="0" labelOnly="1" fieldPosition="0">
        <references count="2">
          <reference field="0" count="1" selected="0">
            <x v="3"/>
          </reference>
          <reference field="1" count="1">
            <x v="231"/>
          </reference>
        </references>
      </pivotArea>
    </format>
    <format dxfId="2379">
      <pivotArea dataOnly="0" labelOnly="1" fieldPosition="0">
        <references count="2">
          <reference field="0" count="1" selected="0">
            <x v="4"/>
          </reference>
          <reference field="1" count="1">
            <x v="232"/>
          </reference>
        </references>
      </pivotArea>
    </format>
    <format dxfId="2378">
      <pivotArea dataOnly="0" labelOnly="1" fieldPosition="0">
        <references count="2">
          <reference field="0" count="1" selected="0">
            <x v="5"/>
          </reference>
          <reference field="1" count="1">
            <x v="233"/>
          </reference>
        </references>
      </pivotArea>
    </format>
    <format dxfId="2377">
      <pivotArea dataOnly="0" labelOnly="1" fieldPosition="0">
        <references count="2">
          <reference field="0" count="1" selected="0">
            <x v="7"/>
          </reference>
          <reference field="1" count="1">
            <x v="118"/>
          </reference>
        </references>
      </pivotArea>
    </format>
    <format dxfId="2376">
      <pivotArea dataOnly="0" labelOnly="1" fieldPosition="0">
        <references count="2">
          <reference field="0" count="1" selected="0">
            <x v="9"/>
          </reference>
          <reference field="1" count="1">
            <x v="120"/>
          </reference>
        </references>
      </pivotArea>
    </format>
    <format dxfId="2375">
      <pivotArea dataOnly="0" labelOnly="1" fieldPosition="0">
        <references count="2">
          <reference field="0" count="1" selected="0">
            <x v="10"/>
          </reference>
          <reference field="1" count="1">
            <x v="121"/>
          </reference>
        </references>
      </pivotArea>
    </format>
    <format dxfId="2374">
      <pivotArea dataOnly="0" labelOnly="1" fieldPosition="0">
        <references count="2">
          <reference field="0" count="1" selected="0">
            <x v="11"/>
          </reference>
          <reference field="1" count="1">
            <x v="122"/>
          </reference>
        </references>
      </pivotArea>
    </format>
    <format dxfId="2373">
      <pivotArea dataOnly="0" labelOnly="1" fieldPosition="0">
        <references count="2">
          <reference field="0" count="1" selected="0">
            <x v="12"/>
          </reference>
          <reference field="1" count="1">
            <x v="123"/>
          </reference>
        </references>
      </pivotArea>
    </format>
    <format dxfId="2372">
      <pivotArea dataOnly="0" labelOnly="1" fieldPosition="0">
        <references count="2">
          <reference field="0" count="1" selected="0">
            <x v="16"/>
          </reference>
          <reference field="1" count="1">
            <x v="64"/>
          </reference>
        </references>
      </pivotArea>
    </format>
    <format dxfId="2371">
      <pivotArea dataOnly="0" labelOnly="1" fieldPosition="0">
        <references count="2">
          <reference field="0" count="1" selected="0">
            <x v="18"/>
          </reference>
          <reference field="1" count="1">
            <x v="66"/>
          </reference>
        </references>
      </pivotArea>
    </format>
    <format dxfId="2370">
      <pivotArea dataOnly="0" labelOnly="1" fieldPosition="0">
        <references count="2">
          <reference field="0" count="1" selected="0">
            <x v="22"/>
          </reference>
          <reference field="1" count="1">
            <x v="19"/>
          </reference>
        </references>
      </pivotArea>
    </format>
    <format dxfId="2369">
      <pivotArea dataOnly="0" labelOnly="1" fieldPosition="0">
        <references count="2">
          <reference field="0" count="1" selected="0">
            <x v="25"/>
          </reference>
          <reference field="1" count="1">
            <x v="22"/>
          </reference>
        </references>
      </pivotArea>
    </format>
    <format dxfId="2368">
      <pivotArea dataOnly="0" labelOnly="1" fieldPosition="0">
        <references count="2">
          <reference field="0" count="1" selected="0">
            <x v="26"/>
          </reference>
          <reference field="1" count="1">
            <x v="23"/>
          </reference>
        </references>
      </pivotArea>
    </format>
    <format dxfId="2367">
      <pivotArea dataOnly="0" labelOnly="1" fieldPosition="0">
        <references count="2">
          <reference field="0" count="1" selected="0">
            <x v="28"/>
          </reference>
          <reference field="1" count="1">
            <x v="25"/>
          </reference>
        </references>
      </pivotArea>
    </format>
    <format dxfId="2366">
      <pivotArea dataOnly="0" labelOnly="1" fieldPosition="0">
        <references count="2">
          <reference field="0" count="1" selected="0">
            <x v="29"/>
          </reference>
          <reference field="1" count="1">
            <x v="26"/>
          </reference>
        </references>
      </pivotArea>
    </format>
    <format dxfId="2365">
      <pivotArea dataOnly="0" labelOnly="1" fieldPosition="0">
        <references count="2">
          <reference field="0" count="1" selected="0">
            <x v="30"/>
          </reference>
          <reference field="1" count="1">
            <x v="27"/>
          </reference>
        </references>
      </pivotArea>
    </format>
    <format dxfId="2364">
      <pivotArea dataOnly="0" labelOnly="1" fieldPosition="0">
        <references count="2">
          <reference field="0" count="1" selected="0">
            <x v="31"/>
          </reference>
          <reference field="1" count="1">
            <x v="28"/>
          </reference>
        </references>
      </pivotArea>
    </format>
    <format dxfId="2363">
      <pivotArea dataOnly="0" labelOnly="1" fieldPosition="0">
        <references count="2">
          <reference field="0" count="1" selected="0">
            <x v="35"/>
          </reference>
          <reference field="1" count="1">
            <x v="32"/>
          </reference>
        </references>
      </pivotArea>
    </format>
    <format dxfId="2362">
      <pivotArea dataOnly="0" labelOnly="1" fieldPosition="0">
        <references count="2">
          <reference field="0" count="1" selected="0">
            <x v="36"/>
          </reference>
          <reference field="1" count="1">
            <x v="33"/>
          </reference>
        </references>
      </pivotArea>
    </format>
    <format dxfId="2361">
      <pivotArea dataOnly="0" labelOnly="1" fieldPosition="0">
        <references count="2">
          <reference field="0" count="1" selected="0">
            <x v="37"/>
          </reference>
          <reference field="1" count="1">
            <x v="34"/>
          </reference>
        </references>
      </pivotArea>
    </format>
    <format dxfId="2360">
      <pivotArea dataOnly="0" labelOnly="1" fieldPosition="0">
        <references count="2">
          <reference field="0" count="1" selected="0">
            <x v="38"/>
          </reference>
          <reference field="1" count="1">
            <x v="0"/>
          </reference>
        </references>
      </pivotArea>
    </format>
    <format dxfId="2359">
      <pivotArea dataOnly="0" labelOnly="1" fieldPosition="0">
        <references count="2">
          <reference field="0" count="1" selected="0">
            <x v="39"/>
          </reference>
          <reference field="1" count="1">
            <x v="1"/>
          </reference>
        </references>
      </pivotArea>
    </format>
    <format dxfId="2358">
      <pivotArea dataOnly="0" labelOnly="1" fieldPosition="0">
        <references count="2">
          <reference field="0" count="1" selected="0">
            <x v="40"/>
          </reference>
          <reference field="1" count="1">
            <x v="2"/>
          </reference>
        </references>
      </pivotArea>
    </format>
    <format dxfId="2357">
      <pivotArea dataOnly="0" labelOnly="1" fieldPosition="0">
        <references count="2">
          <reference field="0" count="1" selected="0">
            <x v="41"/>
          </reference>
          <reference field="1" count="1">
            <x v="3"/>
          </reference>
        </references>
      </pivotArea>
    </format>
    <format dxfId="2356">
      <pivotArea dataOnly="0" labelOnly="1" fieldPosition="0">
        <references count="2">
          <reference field="0" count="1" selected="0">
            <x v="42"/>
          </reference>
          <reference field="1" count="1">
            <x v="4"/>
          </reference>
        </references>
      </pivotArea>
    </format>
    <format dxfId="2355">
      <pivotArea dataOnly="0" labelOnly="1" fieldPosition="0">
        <references count="2">
          <reference field="0" count="1" selected="0">
            <x v="43"/>
          </reference>
          <reference field="1" count="1">
            <x v="5"/>
          </reference>
        </references>
      </pivotArea>
    </format>
    <format dxfId="2354">
      <pivotArea dataOnly="0" labelOnly="1" fieldPosition="0">
        <references count="2">
          <reference field="0" count="1" selected="0">
            <x v="44"/>
          </reference>
          <reference field="1" count="1">
            <x v="6"/>
          </reference>
        </references>
      </pivotArea>
    </format>
    <format dxfId="2353">
      <pivotArea dataOnly="0" labelOnly="1" fieldPosition="0">
        <references count="2">
          <reference field="0" count="1" selected="0">
            <x v="45"/>
          </reference>
          <reference field="1" count="1">
            <x v="7"/>
          </reference>
        </references>
      </pivotArea>
    </format>
    <format dxfId="2352">
      <pivotArea dataOnly="0" labelOnly="1" fieldPosition="0">
        <references count="2">
          <reference field="0" count="1" selected="0">
            <x v="46"/>
          </reference>
          <reference field="1" count="1">
            <x v="8"/>
          </reference>
        </references>
      </pivotArea>
    </format>
    <format dxfId="2351">
      <pivotArea dataOnly="0" labelOnly="1" fieldPosition="0">
        <references count="2">
          <reference field="0" count="1" selected="0">
            <x v="47"/>
          </reference>
          <reference field="1" count="1">
            <x v="9"/>
          </reference>
        </references>
      </pivotArea>
    </format>
    <format dxfId="2350">
      <pivotArea dataOnly="0" labelOnly="1" fieldPosition="0">
        <references count="2">
          <reference field="0" count="1" selected="0">
            <x v="49"/>
          </reference>
          <reference field="1" count="1">
            <x v="11"/>
          </reference>
        </references>
      </pivotArea>
    </format>
    <format dxfId="2349">
      <pivotArea dataOnly="0" labelOnly="1" fieldPosition="0">
        <references count="2">
          <reference field="0" count="1" selected="0">
            <x v="55"/>
          </reference>
          <reference field="1" count="1">
            <x v="35"/>
          </reference>
        </references>
      </pivotArea>
    </format>
    <format dxfId="2348">
      <pivotArea dataOnly="0" labelOnly="1" fieldPosition="0">
        <references count="2">
          <reference field="0" count="1" selected="0">
            <x v="56"/>
          </reference>
          <reference field="1" count="1">
            <x v="36"/>
          </reference>
        </references>
      </pivotArea>
    </format>
    <format dxfId="2347">
      <pivotArea dataOnly="0" labelOnly="1" fieldPosition="0">
        <references count="2">
          <reference field="0" count="1" selected="0">
            <x v="62"/>
          </reference>
          <reference field="1" count="1">
            <x v="42"/>
          </reference>
        </references>
      </pivotArea>
    </format>
    <format dxfId="2346">
      <pivotArea dataOnly="0" labelOnly="1" fieldPosition="0">
        <references count="2">
          <reference field="0" count="1" selected="0">
            <x v="63"/>
          </reference>
          <reference field="1" count="1">
            <x v="43"/>
          </reference>
        </references>
      </pivotArea>
    </format>
    <format dxfId="2345">
      <pivotArea dataOnly="0" labelOnly="1" fieldPosition="0">
        <references count="2">
          <reference field="0" count="1" selected="0">
            <x v="64"/>
          </reference>
          <reference field="1" count="1">
            <x v="44"/>
          </reference>
        </references>
      </pivotArea>
    </format>
    <format dxfId="2344">
      <pivotArea dataOnly="0" labelOnly="1" fieldPosition="0">
        <references count="2">
          <reference field="0" count="1" selected="0">
            <x v="65"/>
          </reference>
          <reference field="1" count="1">
            <x v="45"/>
          </reference>
        </references>
      </pivotArea>
    </format>
    <format dxfId="2343">
      <pivotArea dataOnly="0" labelOnly="1" fieldPosition="0">
        <references count="2">
          <reference field="0" count="1" selected="0">
            <x v="66"/>
          </reference>
          <reference field="1" count="1">
            <x v="46"/>
          </reference>
        </references>
      </pivotArea>
    </format>
    <format dxfId="2342">
      <pivotArea dataOnly="0" labelOnly="1" fieldPosition="0">
        <references count="2">
          <reference field="0" count="1" selected="0">
            <x v="67"/>
          </reference>
          <reference field="1" count="1">
            <x v="47"/>
          </reference>
        </references>
      </pivotArea>
    </format>
    <format dxfId="2341">
      <pivotArea dataOnly="0" labelOnly="1" fieldPosition="0">
        <references count="2">
          <reference field="0" count="1" selected="0">
            <x v="68"/>
          </reference>
          <reference field="1" count="1">
            <x v="48"/>
          </reference>
        </references>
      </pivotArea>
    </format>
    <format dxfId="2340">
      <pivotArea dataOnly="0" labelOnly="1" fieldPosition="0">
        <references count="2">
          <reference field="0" count="1" selected="0">
            <x v="79"/>
          </reference>
          <reference field="1" count="1">
            <x v="59"/>
          </reference>
        </references>
      </pivotArea>
    </format>
    <format dxfId="2339">
      <pivotArea dataOnly="0" labelOnly="1" fieldPosition="0">
        <references count="2">
          <reference field="0" count="1" selected="0">
            <x v="81"/>
          </reference>
          <reference field="1" count="1">
            <x v="68"/>
          </reference>
        </references>
      </pivotArea>
    </format>
    <format dxfId="2338">
      <pivotArea dataOnly="0" labelOnly="1" fieldPosition="0">
        <references count="2">
          <reference field="0" count="1" selected="0">
            <x v="82"/>
          </reference>
          <reference field="1" count="1">
            <x v="69"/>
          </reference>
        </references>
      </pivotArea>
    </format>
    <format dxfId="2337">
      <pivotArea dataOnly="0" labelOnly="1" fieldPosition="0">
        <references count="2">
          <reference field="0" count="1" selected="0">
            <x v="83"/>
          </reference>
          <reference field="1" count="1">
            <x v="70"/>
          </reference>
        </references>
      </pivotArea>
    </format>
    <format dxfId="2336">
      <pivotArea dataOnly="0" labelOnly="1" fieldPosition="0">
        <references count="2">
          <reference field="0" count="1" selected="0">
            <x v="84"/>
          </reference>
          <reference field="1" count="1">
            <x v="71"/>
          </reference>
        </references>
      </pivotArea>
    </format>
    <format dxfId="2335">
      <pivotArea dataOnly="0" labelOnly="1" fieldPosition="0">
        <references count="2">
          <reference field="0" count="1" selected="0">
            <x v="85"/>
          </reference>
          <reference field="1" count="1">
            <x v="72"/>
          </reference>
        </references>
      </pivotArea>
    </format>
    <format dxfId="2334">
      <pivotArea dataOnly="0" labelOnly="1" fieldPosition="0">
        <references count="2">
          <reference field="0" count="1" selected="0">
            <x v="86"/>
          </reference>
          <reference field="1" count="1">
            <x v="73"/>
          </reference>
        </references>
      </pivotArea>
    </format>
    <format dxfId="2333">
      <pivotArea dataOnly="0" labelOnly="1" fieldPosition="0">
        <references count="2">
          <reference field="0" count="1" selected="0">
            <x v="87"/>
          </reference>
          <reference field="1" count="1">
            <x v="74"/>
          </reference>
        </references>
      </pivotArea>
    </format>
    <format dxfId="2332">
      <pivotArea dataOnly="0" labelOnly="1" fieldPosition="0">
        <references count="2">
          <reference field="0" count="1" selected="0">
            <x v="88"/>
          </reference>
          <reference field="1" count="1">
            <x v="75"/>
          </reference>
        </references>
      </pivotArea>
    </format>
    <format dxfId="2331">
      <pivotArea dataOnly="0" labelOnly="1" fieldPosition="0">
        <references count="2">
          <reference field="0" count="1" selected="0">
            <x v="89"/>
          </reference>
          <reference field="1" count="1">
            <x v="76"/>
          </reference>
        </references>
      </pivotArea>
    </format>
    <format dxfId="2330">
      <pivotArea dataOnly="0" labelOnly="1" fieldPosition="0">
        <references count="2">
          <reference field="0" count="1" selected="0">
            <x v="90"/>
          </reference>
          <reference field="1" count="1">
            <x v="77"/>
          </reference>
        </references>
      </pivotArea>
    </format>
    <format dxfId="2329">
      <pivotArea dataOnly="0" labelOnly="1" fieldPosition="0">
        <references count="2">
          <reference field="0" count="1" selected="0">
            <x v="91"/>
          </reference>
          <reference field="1" count="1">
            <x v="78"/>
          </reference>
        </references>
      </pivotArea>
    </format>
    <format dxfId="2328">
      <pivotArea dataOnly="0" labelOnly="1" fieldPosition="0">
        <references count="2">
          <reference field="0" count="1" selected="0">
            <x v="93"/>
          </reference>
          <reference field="1" count="1">
            <x v="80"/>
          </reference>
        </references>
      </pivotArea>
    </format>
    <format dxfId="2327">
      <pivotArea dataOnly="0" labelOnly="1" fieldPosition="0">
        <references count="2">
          <reference field="0" count="1" selected="0">
            <x v="94"/>
          </reference>
          <reference field="1" count="1">
            <x v="81"/>
          </reference>
        </references>
      </pivotArea>
    </format>
    <format dxfId="2326">
      <pivotArea dataOnly="0" labelOnly="1" fieldPosition="0">
        <references count="2">
          <reference field="0" count="1" selected="0">
            <x v="95"/>
          </reference>
          <reference field="1" count="1">
            <x v="82"/>
          </reference>
        </references>
      </pivotArea>
    </format>
    <format dxfId="2325">
      <pivotArea dataOnly="0" labelOnly="1" fieldPosition="0">
        <references count="2">
          <reference field="0" count="1" selected="0">
            <x v="96"/>
          </reference>
          <reference field="1" count="1">
            <x v="83"/>
          </reference>
        </references>
      </pivotArea>
    </format>
    <format dxfId="2324">
      <pivotArea dataOnly="0" labelOnly="1" fieldPosition="0">
        <references count="2">
          <reference field="0" count="1" selected="0">
            <x v="97"/>
          </reference>
          <reference field="1" count="1">
            <x v="84"/>
          </reference>
        </references>
      </pivotArea>
    </format>
    <format dxfId="2323">
      <pivotArea dataOnly="0" labelOnly="1" fieldPosition="0">
        <references count="2">
          <reference field="0" count="1" selected="0">
            <x v="98"/>
          </reference>
          <reference field="1" count="1">
            <x v="85"/>
          </reference>
        </references>
      </pivotArea>
    </format>
    <format dxfId="2322">
      <pivotArea dataOnly="0" labelOnly="1" fieldPosition="0">
        <references count="2">
          <reference field="0" count="1" selected="0">
            <x v="99"/>
          </reference>
          <reference field="1" count="1">
            <x v="86"/>
          </reference>
        </references>
      </pivotArea>
    </format>
    <format dxfId="2321">
      <pivotArea dataOnly="0" labelOnly="1" fieldPosition="0">
        <references count="2">
          <reference field="0" count="1" selected="0">
            <x v="100"/>
          </reference>
          <reference field="1" count="1">
            <x v="87"/>
          </reference>
        </references>
      </pivotArea>
    </format>
    <format dxfId="2320">
      <pivotArea dataOnly="0" labelOnly="1" fieldPosition="0">
        <references count="2">
          <reference field="0" count="1" selected="0">
            <x v="101"/>
          </reference>
          <reference field="1" count="1">
            <x v="88"/>
          </reference>
        </references>
      </pivotArea>
    </format>
    <format dxfId="2319">
      <pivotArea dataOnly="0" labelOnly="1" fieldPosition="0">
        <references count="2">
          <reference field="0" count="1" selected="0">
            <x v="102"/>
          </reference>
          <reference field="1" count="1">
            <x v="89"/>
          </reference>
        </references>
      </pivotArea>
    </format>
    <format dxfId="2318">
      <pivotArea dataOnly="0" labelOnly="1" fieldPosition="0">
        <references count="2">
          <reference field="0" count="1" selected="0">
            <x v="103"/>
          </reference>
          <reference field="1" count="1">
            <x v="90"/>
          </reference>
        </references>
      </pivotArea>
    </format>
    <format dxfId="2317">
      <pivotArea dataOnly="0" labelOnly="1" fieldPosition="0">
        <references count="2">
          <reference field="0" count="1" selected="0">
            <x v="104"/>
          </reference>
          <reference field="1" count="1">
            <x v="91"/>
          </reference>
        </references>
      </pivotArea>
    </format>
    <format dxfId="2316">
      <pivotArea dataOnly="0" labelOnly="1" fieldPosition="0">
        <references count="2">
          <reference field="0" count="1" selected="0">
            <x v="105"/>
          </reference>
          <reference field="1" count="1">
            <x v="92"/>
          </reference>
        </references>
      </pivotArea>
    </format>
    <format dxfId="2315">
      <pivotArea dataOnly="0" labelOnly="1" fieldPosition="0">
        <references count="2">
          <reference field="0" count="1" selected="0">
            <x v="106"/>
          </reference>
          <reference field="1" count="1">
            <x v="93"/>
          </reference>
        </references>
      </pivotArea>
    </format>
    <format dxfId="2314">
      <pivotArea dataOnly="0" labelOnly="1" fieldPosition="0">
        <references count="2">
          <reference field="0" count="1" selected="0">
            <x v="107"/>
          </reference>
          <reference field="1" count="1">
            <x v="94"/>
          </reference>
        </references>
      </pivotArea>
    </format>
    <format dxfId="2313">
      <pivotArea dataOnly="0" labelOnly="1" fieldPosition="0">
        <references count="2">
          <reference field="0" count="1" selected="0">
            <x v="108"/>
          </reference>
          <reference field="1" count="1">
            <x v="95"/>
          </reference>
        </references>
      </pivotArea>
    </format>
    <format dxfId="2312">
      <pivotArea dataOnly="0" labelOnly="1" fieldPosition="0">
        <references count="2">
          <reference field="0" count="1" selected="0">
            <x v="110"/>
          </reference>
          <reference field="1" count="1">
            <x v="97"/>
          </reference>
        </references>
      </pivotArea>
    </format>
    <format dxfId="2311">
      <pivotArea dataOnly="0" labelOnly="1" fieldPosition="0">
        <references count="2">
          <reference field="0" count="1" selected="0">
            <x v="111"/>
          </reference>
          <reference field="1" count="1">
            <x v="98"/>
          </reference>
        </references>
      </pivotArea>
    </format>
    <format dxfId="2310">
      <pivotArea dataOnly="0" labelOnly="1" fieldPosition="0">
        <references count="2">
          <reference field="0" count="1" selected="0">
            <x v="113"/>
          </reference>
          <reference field="1" count="1">
            <x v="100"/>
          </reference>
        </references>
      </pivotArea>
    </format>
    <format dxfId="2309">
      <pivotArea dataOnly="0" labelOnly="1" fieldPosition="0">
        <references count="2">
          <reference field="0" count="1" selected="0">
            <x v="119"/>
          </reference>
          <reference field="1" count="1">
            <x v="106"/>
          </reference>
        </references>
      </pivotArea>
    </format>
    <format dxfId="2308">
      <pivotArea dataOnly="0" labelOnly="1" fieldPosition="0">
        <references count="2">
          <reference field="0" count="1" selected="0">
            <x v="120"/>
          </reference>
          <reference field="1" count="1">
            <x v="107"/>
          </reference>
        </references>
      </pivotArea>
    </format>
    <format dxfId="2307">
      <pivotArea dataOnly="0" labelOnly="1" fieldPosition="0">
        <references count="2">
          <reference field="0" count="1" selected="0">
            <x v="121"/>
          </reference>
          <reference field="1" count="1">
            <x v="108"/>
          </reference>
        </references>
      </pivotArea>
    </format>
    <format dxfId="2306">
      <pivotArea dataOnly="0" labelOnly="1" fieldPosition="0">
        <references count="2">
          <reference field="0" count="1" selected="0">
            <x v="122"/>
          </reference>
          <reference field="1" count="1">
            <x v="109"/>
          </reference>
        </references>
      </pivotArea>
    </format>
    <format dxfId="2305">
      <pivotArea dataOnly="0" labelOnly="1" fieldPosition="0">
        <references count="2">
          <reference field="0" count="1" selected="0">
            <x v="123"/>
          </reference>
          <reference field="1" count="1">
            <x v="110"/>
          </reference>
        </references>
      </pivotArea>
    </format>
    <format dxfId="2304">
      <pivotArea dataOnly="0" labelOnly="1" fieldPosition="0">
        <references count="2">
          <reference field="0" count="1" selected="0">
            <x v="124"/>
          </reference>
          <reference field="1" count="1">
            <x v="111"/>
          </reference>
        </references>
      </pivotArea>
    </format>
    <format dxfId="2303">
      <pivotArea dataOnly="0" labelOnly="1" fieldPosition="0">
        <references count="2">
          <reference field="0" count="1" selected="0">
            <x v="125"/>
          </reference>
          <reference field="1" count="1">
            <x v="112"/>
          </reference>
        </references>
      </pivotArea>
    </format>
    <format dxfId="2302">
      <pivotArea dataOnly="0" labelOnly="1" fieldPosition="0">
        <references count="2">
          <reference field="0" count="1" selected="0">
            <x v="126"/>
          </reference>
          <reference field="1" count="1">
            <x v="113"/>
          </reference>
        </references>
      </pivotArea>
    </format>
    <format dxfId="2301">
      <pivotArea dataOnly="0" labelOnly="1" fieldPosition="0">
        <references count="2">
          <reference field="0" count="1" selected="0">
            <x v="127"/>
          </reference>
          <reference field="1" count="1">
            <x v="114"/>
          </reference>
        </references>
      </pivotArea>
    </format>
    <format dxfId="2300">
      <pivotArea dataOnly="0" labelOnly="1" fieldPosition="0">
        <references count="2">
          <reference field="0" count="1" selected="0">
            <x v="128"/>
          </reference>
          <reference field="1" count="1">
            <x v="115"/>
          </reference>
        </references>
      </pivotArea>
    </format>
    <format dxfId="2299">
      <pivotArea dataOnly="0" labelOnly="1" fieldPosition="0">
        <references count="2">
          <reference field="0" count="1" selected="0">
            <x v="129"/>
          </reference>
          <reference field="1" count="1">
            <x v="116"/>
          </reference>
        </references>
      </pivotArea>
    </format>
    <format dxfId="2298">
      <pivotArea dataOnly="0" labelOnly="1" fieldPosition="0">
        <references count="2">
          <reference field="0" count="1" selected="0">
            <x v="130"/>
          </reference>
          <reference field="1" count="1">
            <x v="117"/>
          </reference>
        </references>
      </pivotArea>
    </format>
    <format dxfId="2297">
      <pivotArea dataOnly="0" labelOnly="1" fieldPosition="0">
        <references count="2">
          <reference field="0" count="1" selected="0">
            <x v="134"/>
          </reference>
          <reference field="1" count="1">
            <x v="127"/>
          </reference>
        </references>
      </pivotArea>
    </format>
    <format dxfId="2296">
      <pivotArea dataOnly="0" labelOnly="1" fieldPosition="0">
        <references count="2">
          <reference field="0" count="1" selected="0">
            <x v="135"/>
          </reference>
          <reference field="1" count="1">
            <x v="128"/>
          </reference>
        </references>
      </pivotArea>
    </format>
    <format dxfId="2295">
      <pivotArea dataOnly="0" labelOnly="1" fieldPosition="0">
        <references count="2">
          <reference field="0" count="1" selected="0">
            <x v="136"/>
          </reference>
          <reference field="1" count="1">
            <x v="129"/>
          </reference>
        </references>
      </pivotArea>
    </format>
    <format dxfId="2294">
      <pivotArea dataOnly="0" labelOnly="1" fieldPosition="0">
        <references count="2">
          <reference field="0" count="1" selected="0">
            <x v="144"/>
          </reference>
          <reference field="1" count="1">
            <x v="137"/>
          </reference>
        </references>
      </pivotArea>
    </format>
    <format dxfId="2293">
      <pivotArea dataOnly="0" labelOnly="1" fieldPosition="0">
        <references count="2">
          <reference field="0" count="1" selected="0">
            <x v="146"/>
          </reference>
          <reference field="1" count="1">
            <x v="139"/>
          </reference>
        </references>
      </pivotArea>
    </format>
    <format dxfId="2292">
      <pivotArea dataOnly="0" labelOnly="1" fieldPosition="0">
        <references count="2">
          <reference field="0" count="1" selected="0">
            <x v="147"/>
          </reference>
          <reference field="1" count="1">
            <x v="140"/>
          </reference>
        </references>
      </pivotArea>
    </format>
    <format dxfId="2291">
      <pivotArea dataOnly="0" labelOnly="1" fieldPosition="0">
        <references count="2">
          <reference field="0" count="1" selected="0">
            <x v="148"/>
          </reference>
          <reference field="1" count="1">
            <x v="141"/>
          </reference>
        </references>
      </pivotArea>
    </format>
    <format dxfId="2290">
      <pivotArea dataOnly="0" labelOnly="1" fieldPosition="0">
        <references count="2">
          <reference field="0" count="1" selected="0">
            <x v="149"/>
          </reference>
          <reference field="1" count="1">
            <x v="142"/>
          </reference>
        </references>
      </pivotArea>
    </format>
    <format dxfId="2289">
      <pivotArea dataOnly="0" labelOnly="1" fieldPosition="0">
        <references count="2">
          <reference field="0" count="1" selected="0">
            <x v="150"/>
          </reference>
          <reference field="1" count="1">
            <x v="143"/>
          </reference>
        </references>
      </pivotArea>
    </format>
    <format dxfId="2288">
      <pivotArea dataOnly="0" labelOnly="1" fieldPosition="0">
        <references count="2">
          <reference field="0" count="1" selected="0">
            <x v="151"/>
          </reference>
          <reference field="1" count="1">
            <x v="144"/>
          </reference>
        </references>
      </pivotArea>
    </format>
    <format dxfId="2287">
      <pivotArea dataOnly="0" labelOnly="1" fieldPosition="0">
        <references count="2">
          <reference field="0" count="1" selected="0">
            <x v="152"/>
          </reference>
          <reference field="1" count="1">
            <x v="145"/>
          </reference>
        </references>
      </pivotArea>
    </format>
    <format dxfId="2286">
      <pivotArea dataOnly="0" labelOnly="1" fieldPosition="0">
        <references count="2">
          <reference field="0" count="1" selected="0">
            <x v="153"/>
          </reference>
          <reference field="1" count="1">
            <x v="146"/>
          </reference>
        </references>
      </pivotArea>
    </format>
    <format dxfId="2285">
      <pivotArea dataOnly="0" labelOnly="1" fieldPosition="0">
        <references count="2">
          <reference field="0" count="1" selected="0">
            <x v="154"/>
          </reference>
          <reference field="1" count="1">
            <x v="147"/>
          </reference>
        </references>
      </pivotArea>
    </format>
    <format dxfId="2284">
      <pivotArea dataOnly="0" labelOnly="1" fieldPosition="0">
        <references count="2">
          <reference field="0" count="1" selected="0">
            <x v="155"/>
          </reference>
          <reference field="1" count="1">
            <x v="148"/>
          </reference>
        </references>
      </pivotArea>
    </format>
    <format dxfId="2283">
      <pivotArea dataOnly="0" labelOnly="1" fieldPosition="0">
        <references count="2">
          <reference field="0" count="1" selected="0">
            <x v="159"/>
          </reference>
          <reference field="1" count="1">
            <x v="183"/>
          </reference>
        </references>
      </pivotArea>
    </format>
    <format dxfId="2282">
      <pivotArea dataOnly="0" labelOnly="1" fieldPosition="0">
        <references count="2">
          <reference field="0" count="1" selected="0">
            <x v="160"/>
          </reference>
          <reference field="1" count="1">
            <x v="184"/>
          </reference>
        </references>
      </pivotArea>
    </format>
    <format dxfId="2281">
      <pivotArea dataOnly="0" labelOnly="1" fieldPosition="0">
        <references count="2">
          <reference field="0" count="1" selected="0">
            <x v="161"/>
          </reference>
          <reference field="1" count="1">
            <x v="185"/>
          </reference>
        </references>
      </pivotArea>
    </format>
    <format dxfId="2280">
      <pivotArea dataOnly="0" labelOnly="1" fieldPosition="0">
        <references count="2">
          <reference field="0" count="1" selected="0">
            <x v="162"/>
          </reference>
          <reference field="1" count="1">
            <x v="186"/>
          </reference>
        </references>
      </pivotArea>
    </format>
    <format dxfId="2279">
      <pivotArea dataOnly="0" labelOnly="1" fieldPosition="0">
        <references count="2">
          <reference field="0" count="1" selected="0">
            <x v="164"/>
          </reference>
          <reference field="1" count="1">
            <x v="188"/>
          </reference>
        </references>
      </pivotArea>
    </format>
    <format dxfId="2278">
      <pivotArea dataOnly="0" labelOnly="1" fieldPosition="0">
        <references count="2">
          <reference field="0" count="1" selected="0">
            <x v="165"/>
          </reference>
          <reference field="1" count="1">
            <x v="189"/>
          </reference>
        </references>
      </pivotArea>
    </format>
    <format dxfId="2277">
      <pivotArea dataOnly="0" labelOnly="1" fieldPosition="0">
        <references count="2">
          <reference field="0" count="1" selected="0">
            <x v="166"/>
          </reference>
          <reference field="1" count="1">
            <x v="190"/>
          </reference>
        </references>
      </pivotArea>
    </format>
    <format dxfId="2276">
      <pivotArea dataOnly="0" labelOnly="1" fieldPosition="0">
        <references count="2">
          <reference field="0" count="1" selected="0">
            <x v="167"/>
          </reference>
          <reference field="1" count="1">
            <x v="199"/>
          </reference>
        </references>
      </pivotArea>
    </format>
    <format dxfId="2275">
      <pivotArea dataOnly="0" labelOnly="1" fieldPosition="0">
        <references count="2">
          <reference field="0" count="1" selected="0">
            <x v="168"/>
          </reference>
          <reference field="1" count="1">
            <x v="200"/>
          </reference>
        </references>
      </pivotArea>
    </format>
    <format dxfId="2274">
      <pivotArea dataOnly="0" labelOnly="1" fieldPosition="0">
        <references count="2">
          <reference field="0" count="1" selected="0">
            <x v="171"/>
          </reference>
          <reference field="1" count="1">
            <x v="203"/>
          </reference>
        </references>
      </pivotArea>
    </format>
    <format dxfId="2273">
      <pivotArea dataOnly="0" labelOnly="1" fieldPosition="0">
        <references count="2">
          <reference field="0" count="1" selected="0">
            <x v="172"/>
          </reference>
          <reference field="1" count="1">
            <x v="204"/>
          </reference>
        </references>
      </pivotArea>
    </format>
    <format dxfId="2272">
      <pivotArea dataOnly="0" labelOnly="1" fieldPosition="0">
        <references count="2">
          <reference field="0" count="1" selected="0">
            <x v="173"/>
          </reference>
          <reference field="1" count="1">
            <x v="205"/>
          </reference>
        </references>
      </pivotArea>
    </format>
    <format dxfId="2271">
      <pivotArea dataOnly="0" labelOnly="1" fieldPosition="0">
        <references count="2">
          <reference field="0" count="1" selected="0">
            <x v="175"/>
          </reference>
          <reference field="1" count="1">
            <x v="207"/>
          </reference>
        </references>
      </pivotArea>
    </format>
    <format dxfId="2270">
      <pivotArea dataOnly="0" labelOnly="1" fieldPosition="0">
        <references count="2">
          <reference field="0" count="1" selected="0">
            <x v="176"/>
          </reference>
          <reference field="1" count="1">
            <x v="208"/>
          </reference>
        </references>
      </pivotArea>
    </format>
    <format dxfId="2269">
      <pivotArea dataOnly="0" labelOnly="1" fieldPosition="0">
        <references count="2">
          <reference field="0" count="1" selected="0">
            <x v="177"/>
          </reference>
          <reference field="1" count="1">
            <x v="209"/>
          </reference>
        </references>
      </pivotArea>
    </format>
    <format dxfId="2268">
      <pivotArea dataOnly="0" labelOnly="1" fieldPosition="0">
        <references count="2">
          <reference field="0" count="1" selected="0">
            <x v="178"/>
          </reference>
          <reference field="1" count="1">
            <x v="210"/>
          </reference>
        </references>
      </pivotArea>
    </format>
    <format dxfId="2267">
      <pivotArea dataOnly="0" labelOnly="1" fieldPosition="0">
        <references count="2">
          <reference field="0" count="1" selected="0">
            <x v="179"/>
          </reference>
          <reference field="1" count="1">
            <x v="211"/>
          </reference>
        </references>
      </pivotArea>
    </format>
    <format dxfId="2266">
      <pivotArea dataOnly="0" labelOnly="1" fieldPosition="0">
        <references count="2">
          <reference field="0" count="1" selected="0">
            <x v="180"/>
          </reference>
          <reference field="1" count="1">
            <x v="212"/>
          </reference>
        </references>
      </pivotArea>
    </format>
    <format dxfId="2265">
      <pivotArea dataOnly="0" labelOnly="1" fieldPosition="0">
        <references count="2">
          <reference field="0" count="1" selected="0">
            <x v="181"/>
          </reference>
          <reference field="1" count="1">
            <x v="213"/>
          </reference>
        </references>
      </pivotArea>
    </format>
    <format dxfId="2264">
      <pivotArea dataOnly="0" labelOnly="1" fieldPosition="0">
        <references count="2">
          <reference field="0" count="1" selected="0">
            <x v="182"/>
          </reference>
          <reference field="1" count="1">
            <x v="214"/>
          </reference>
        </references>
      </pivotArea>
    </format>
    <format dxfId="2263">
      <pivotArea dataOnly="0" labelOnly="1" fieldPosition="0">
        <references count="2">
          <reference field="0" count="1" selected="0">
            <x v="183"/>
          </reference>
          <reference field="1" count="1">
            <x v="215"/>
          </reference>
        </references>
      </pivotArea>
    </format>
    <format dxfId="2262">
      <pivotArea dataOnly="0" labelOnly="1" fieldPosition="0">
        <references count="2">
          <reference field="0" count="1" selected="0">
            <x v="184"/>
          </reference>
          <reference field="1" count="1">
            <x v="216"/>
          </reference>
        </references>
      </pivotArea>
    </format>
    <format dxfId="2261">
      <pivotArea dataOnly="0" labelOnly="1" fieldPosition="0">
        <references count="2">
          <reference field="0" count="1" selected="0">
            <x v="185"/>
          </reference>
          <reference field="1" count="1">
            <x v="217"/>
          </reference>
        </references>
      </pivotArea>
    </format>
    <format dxfId="2260">
      <pivotArea dataOnly="0" labelOnly="1" fieldPosition="0">
        <references count="2">
          <reference field="0" count="1" selected="0">
            <x v="186"/>
          </reference>
          <reference field="1" count="1">
            <x v="218"/>
          </reference>
        </references>
      </pivotArea>
    </format>
    <format dxfId="2259">
      <pivotArea dataOnly="0" labelOnly="1" fieldPosition="0">
        <references count="2">
          <reference field="0" count="1" selected="0">
            <x v="187"/>
          </reference>
          <reference field="1" count="1">
            <x v="219"/>
          </reference>
        </references>
      </pivotArea>
    </format>
    <format dxfId="2258">
      <pivotArea dataOnly="0" labelOnly="1" fieldPosition="0">
        <references count="2">
          <reference field="0" count="1" selected="0">
            <x v="188"/>
          </reference>
          <reference field="1" count="1">
            <x v="220"/>
          </reference>
        </references>
      </pivotArea>
    </format>
    <format dxfId="2257">
      <pivotArea dataOnly="0" labelOnly="1" fieldPosition="0">
        <references count="2">
          <reference field="0" count="1" selected="0">
            <x v="189"/>
          </reference>
          <reference field="1" count="1">
            <x v="221"/>
          </reference>
        </references>
      </pivotArea>
    </format>
    <format dxfId="2256">
      <pivotArea dataOnly="0" labelOnly="1" fieldPosition="0">
        <references count="2">
          <reference field="0" count="1" selected="0">
            <x v="192"/>
          </reference>
          <reference field="1" count="1">
            <x v="224"/>
          </reference>
        </references>
      </pivotArea>
    </format>
    <format dxfId="2255">
      <pivotArea dataOnly="0" labelOnly="1" fieldPosition="0">
        <references count="2">
          <reference field="0" count="1" selected="0">
            <x v="193"/>
          </reference>
          <reference field="1" count="1">
            <x v="225"/>
          </reference>
        </references>
      </pivotArea>
    </format>
    <format dxfId="2254">
      <pivotArea dataOnly="0" labelOnly="1" fieldPosition="0">
        <references count="2">
          <reference field="0" count="1" selected="0">
            <x v="197"/>
          </reference>
          <reference field="1" count="1">
            <x v="236"/>
          </reference>
        </references>
      </pivotArea>
    </format>
    <format dxfId="2253">
      <pivotArea dataOnly="0" labelOnly="1" fieldPosition="0">
        <references count="2">
          <reference field="0" count="1" selected="0">
            <x v="199"/>
          </reference>
          <reference field="1" count="1">
            <x v="238"/>
          </reference>
        </references>
      </pivotArea>
    </format>
    <format dxfId="2252">
      <pivotArea dataOnly="0" labelOnly="1" fieldPosition="0">
        <references count="2">
          <reference field="0" count="1" selected="0">
            <x v="200"/>
          </reference>
          <reference field="1" count="1">
            <x v="239"/>
          </reference>
        </references>
      </pivotArea>
    </format>
    <format dxfId="2251">
      <pivotArea dataOnly="0" labelOnly="1" fieldPosition="0">
        <references count="2">
          <reference field="0" count="1" selected="0">
            <x v="201"/>
          </reference>
          <reference field="1" count="1">
            <x v="240"/>
          </reference>
        </references>
      </pivotArea>
    </format>
    <format dxfId="2250">
      <pivotArea dataOnly="0" labelOnly="1" fieldPosition="0">
        <references count="2">
          <reference field="0" count="1" selected="0">
            <x v="204"/>
          </reference>
          <reference field="1" count="1">
            <x v="149"/>
          </reference>
        </references>
      </pivotArea>
    </format>
    <format dxfId="2249">
      <pivotArea dataOnly="0" labelOnly="1" fieldPosition="0">
        <references count="2">
          <reference field="0" count="1" selected="0">
            <x v="206"/>
          </reference>
          <reference field="1" count="1">
            <x v="151"/>
          </reference>
        </references>
      </pivotArea>
    </format>
    <format dxfId="2248">
      <pivotArea dataOnly="0" labelOnly="1" fieldPosition="0">
        <references count="2">
          <reference field="0" count="1" selected="0">
            <x v="207"/>
          </reference>
          <reference field="1" count="1">
            <x v="152"/>
          </reference>
        </references>
      </pivotArea>
    </format>
    <format dxfId="2247">
      <pivotArea dataOnly="0" labelOnly="1" fieldPosition="0">
        <references count="2">
          <reference field="0" count="1" selected="0">
            <x v="208"/>
          </reference>
          <reference field="1" count="1">
            <x v="153"/>
          </reference>
        </references>
      </pivotArea>
    </format>
    <format dxfId="2246">
      <pivotArea dataOnly="0" labelOnly="1" fieldPosition="0">
        <references count="2">
          <reference field="0" count="1" selected="0">
            <x v="209"/>
          </reference>
          <reference field="1" count="1">
            <x v="154"/>
          </reference>
        </references>
      </pivotArea>
    </format>
    <format dxfId="2245">
      <pivotArea dataOnly="0" labelOnly="1" fieldPosition="0">
        <references count="2">
          <reference field="0" count="1" selected="0">
            <x v="210"/>
          </reference>
          <reference field="1" count="1">
            <x v="155"/>
          </reference>
        </references>
      </pivotArea>
    </format>
    <format dxfId="2244">
      <pivotArea dataOnly="0" labelOnly="1" fieldPosition="0">
        <references count="2">
          <reference field="0" count="1" selected="0">
            <x v="211"/>
          </reference>
          <reference field="1" count="1">
            <x v="156"/>
          </reference>
        </references>
      </pivotArea>
    </format>
    <format dxfId="2243">
      <pivotArea dataOnly="0" labelOnly="1" fieldPosition="0">
        <references count="2">
          <reference field="0" count="1" selected="0">
            <x v="212"/>
          </reference>
          <reference field="1" count="1">
            <x v="157"/>
          </reference>
        </references>
      </pivotArea>
    </format>
    <format dxfId="2242">
      <pivotArea dataOnly="0" labelOnly="1" fieldPosition="0">
        <references count="2">
          <reference field="0" count="1" selected="0">
            <x v="214"/>
          </reference>
          <reference field="1" count="1">
            <x v="159"/>
          </reference>
        </references>
      </pivotArea>
    </format>
    <format dxfId="2241">
      <pivotArea dataOnly="0" labelOnly="1" fieldPosition="0">
        <references count="2">
          <reference field="0" count="1" selected="0">
            <x v="215"/>
          </reference>
          <reference field="1" count="1">
            <x v="160"/>
          </reference>
        </references>
      </pivotArea>
    </format>
    <format dxfId="2240">
      <pivotArea dataOnly="0" labelOnly="1" fieldPosition="0">
        <references count="2">
          <reference field="0" count="1" selected="0">
            <x v="216"/>
          </reference>
          <reference field="1" count="1">
            <x v="161"/>
          </reference>
        </references>
      </pivotArea>
    </format>
    <format dxfId="2239">
      <pivotArea dataOnly="0" labelOnly="1" fieldPosition="0">
        <references count="2">
          <reference field="0" count="1" selected="0">
            <x v="217"/>
          </reference>
          <reference field="1" count="1">
            <x v="162"/>
          </reference>
        </references>
      </pivotArea>
    </format>
    <format dxfId="2238">
      <pivotArea dataOnly="0" labelOnly="1" fieldPosition="0">
        <references count="2">
          <reference field="0" count="1" selected="0">
            <x v="218"/>
          </reference>
          <reference field="1" count="1">
            <x v="163"/>
          </reference>
        </references>
      </pivotArea>
    </format>
    <format dxfId="2237">
      <pivotArea dataOnly="0" labelOnly="1" fieldPosition="0">
        <references count="2">
          <reference field="0" count="1" selected="0">
            <x v="219"/>
          </reference>
          <reference field="1" count="1">
            <x v="164"/>
          </reference>
        </references>
      </pivotArea>
    </format>
    <format dxfId="2236">
      <pivotArea dataOnly="0" labelOnly="1" fieldPosition="0">
        <references count="2">
          <reference field="0" count="1" selected="0">
            <x v="220"/>
          </reference>
          <reference field="1" count="1">
            <x v="165"/>
          </reference>
        </references>
      </pivotArea>
    </format>
    <format dxfId="2235">
      <pivotArea dataOnly="0" labelOnly="1" fieldPosition="0">
        <references count="2">
          <reference field="0" count="1" selected="0">
            <x v="221"/>
          </reference>
          <reference field="1" count="1">
            <x v="166"/>
          </reference>
        </references>
      </pivotArea>
    </format>
    <format dxfId="2234">
      <pivotArea dataOnly="0" labelOnly="1" fieldPosition="0">
        <references count="2">
          <reference field="0" count="1" selected="0">
            <x v="223"/>
          </reference>
          <reference field="1" count="1">
            <x v="168"/>
          </reference>
        </references>
      </pivotArea>
    </format>
    <format dxfId="2233">
      <pivotArea dataOnly="0" labelOnly="1" fieldPosition="0">
        <references count="2">
          <reference field="0" count="1" selected="0">
            <x v="224"/>
          </reference>
          <reference field="1" count="1">
            <x v="169"/>
          </reference>
        </references>
      </pivotArea>
    </format>
    <format dxfId="2232">
      <pivotArea dataOnly="0" labelOnly="1" fieldPosition="0">
        <references count="2">
          <reference field="0" count="1" selected="0">
            <x v="225"/>
          </reference>
          <reference field="1" count="1">
            <x v="170"/>
          </reference>
        </references>
      </pivotArea>
    </format>
    <format dxfId="2231">
      <pivotArea dataOnly="0" labelOnly="1" fieldPosition="0">
        <references count="2">
          <reference field="0" count="1" selected="0">
            <x v="226"/>
          </reference>
          <reference field="1" count="1">
            <x v="171"/>
          </reference>
        </references>
      </pivotArea>
    </format>
    <format dxfId="2230">
      <pivotArea dataOnly="0" labelOnly="1" fieldPosition="0">
        <references count="2">
          <reference field="0" count="1" selected="0">
            <x v="227"/>
          </reference>
          <reference field="1" count="1">
            <x v="172"/>
          </reference>
        </references>
      </pivotArea>
    </format>
    <format dxfId="2229">
      <pivotArea dataOnly="0" labelOnly="1" fieldPosition="0">
        <references count="2">
          <reference field="0" count="1" selected="0">
            <x v="228"/>
          </reference>
          <reference field="1" count="1">
            <x v="173"/>
          </reference>
        </references>
      </pivotArea>
    </format>
    <format dxfId="2228">
      <pivotArea dataOnly="0" labelOnly="1" fieldPosition="0">
        <references count="2">
          <reference field="0" count="1" selected="0">
            <x v="229"/>
          </reference>
          <reference field="1" count="1">
            <x v="174"/>
          </reference>
        </references>
      </pivotArea>
    </format>
    <format dxfId="2227">
      <pivotArea dataOnly="0" labelOnly="1" fieldPosition="0">
        <references count="2">
          <reference field="0" count="1" selected="0">
            <x v="230"/>
          </reference>
          <reference field="1" count="1">
            <x v="175"/>
          </reference>
        </references>
      </pivotArea>
    </format>
    <format dxfId="2226">
      <pivotArea dataOnly="0" labelOnly="1" fieldPosition="0">
        <references count="2">
          <reference field="0" count="1" selected="0">
            <x v="231"/>
          </reference>
          <reference field="1" count="1">
            <x v="176"/>
          </reference>
        </references>
      </pivotArea>
    </format>
    <format dxfId="2225">
      <pivotArea dataOnly="0" labelOnly="1" fieldPosition="0">
        <references count="2">
          <reference field="0" count="1" selected="0">
            <x v="232"/>
          </reference>
          <reference field="1" count="1">
            <x v="177"/>
          </reference>
        </references>
      </pivotArea>
    </format>
    <format dxfId="2224">
      <pivotArea dataOnly="0" labelOnly="1" fieldPosition="0">
        <references count="2">
          <reference field="0" count="1" selected="0">
            <x v="233"/>
          </reference>
          <reference field="1" count="1">
            <x v="178"/>
          </reference>
        </references>
      </pivotArea>
    </format>
    <format dxfId="2223">
      <pivotArea dataOnly="0" labelOnly="1" fieldPosition="0">
        <references count="2">
          <reference field="0" count="1" selected="0">
            <x v="234"/>
          </reference>
          <reference field="1" count="1">
            <x v="179"/>
          </reference>
        </references>
      </pivotArea>
    </format>
    <format dxfId="2222">
      <pivotArea dataOnly="0" labelOnly="1" fieldPosition="0">
        <references count="2">
          <reference field="0" count="1" selected="0">
            <x v="235"/>
          </reference>
          <reference field="1" count="1">
            <x v="191"/>
          </reference>
        </references>
      </pivotArea>
    </format>
    <format dxfId="2221">
      <pivotArea dataOnly="0" labelOnly="1" fieldPosition="0">
        <references count="2">
          <reference field="0" count="1" selected="0">
            <x v="236"/>
          </reference>
          <reference field="1" count="1">
            <x v="192"/>
          </reference>
        </references>
      </pivotArea>
    </format>
    <format dxfId="2220">
      <pivotArea dataOnly="0" labelOnly="1" fieldPosition="0">
        <references count="2">
          <reference field="0" count="1" selected="0">
            <x v="237"/>
          </reference>
          <reference field="1" count="1">
            <x v="193"/>
          </reference>
        </references>
      </pivotArea>
    </format>
    <format dxfId="2219">
      <pivotArea dataOnly="0" labelOnly="1" fieldPosition="0">
        <references count="2">
          <reference field="0" count="1" selected="0">
            <x v="238"/>
          </reference>
          <reference field="1" count="1">
            <x v="194"/>
          </reference>
        </references>
      </pivotArea>
    </format>
    <format dxfId="2218">
      <pivotArea dataOnly="0" labelOnly="1" fieldPosition="0">
        <references count="2">
          <reference field="0" count="1" selected="0">
            <x v="239"/>
          </reference>
          <reference field="1" count="1">
            <x v="195"/>
          </reference>
        </references>
      </pivotArea>
    </format>
    <format dxfId="2217">
      <pivotArea dataOnly="0" labelOnly="1" fieldPosition="0">
        <references count="2">
          <reference field="0" count="1" selected="0">
            <x v="240"/>
          </reference>
          <reference field="1" count="1">
            <x v="196"/>
          </reference>
        </references>
      </pivotArea>
    </format>
    <format dxfId="2216">
      <pivotArea dataOnly="0" labelOnly="1" fieldPosition="0">
        <references count="2">
          <reference field="0" count="1" selected="0">
            <x v="241"/>
          </reference>
          <reference field="1" count="1">
            <x v="197"/>
          </reference>
        </references>
      </pivotArea>
    </format>
    <format dxfId="2215">
      <pivotArea dataOnly="0" labelOnly="1" fieldPosition="0">
        <references count="2">
          <reference field="0" count="1" selected="0">
            <x v="242"/>
          </reference>
          <reference field="1" count="1">
            <x v="198"/>
          </reference>
        </references>
      </pivotArea>
    </format>
    <format dxfId="2214">
      <pivotArea dataOnly="0" labelOnly="1" fieldPosition="0">
        <references count="3">
          <reference field="0" count="1" selected="0">
            <x v="0"/>
          </reference>
          <reference field="1" count="1" selected="0">
            <x v="228"/>
          </reference>
          <reference field="2" count="1">
            <x v="153"/>
          </reference>
        </references>
      </pivotArea>
    </format>
    <format dxfId="2213">
      <pivotArea dataOnly="0" labelOnly="1" fieldPosition="0">
        <references count="3">
          <reference field="0" count="1" selected="0">
            <x v="2"/>
          </reference>
          <reference field="1" count="1" selected="0">
            <x v="230"/>
          </reference>
          <reference field="2" count="1">
            <x v="225"/>
          </reference>
        </references>
      </pivotArea>
    </format>
    <format dxfId="2212">
      <pivotArea dataOnly="0" labelOnly="1" fieldPosition="0">
        <references count="3">
          <reference field="0" count="1" selected="0">
            <x v="3"/>
          </reference>
          <reference field="1" count="1" selected="0">
            <x v="231"/>
          </reference>
          <reference field="2" count="1">
            <x v="88"/>
          </reference>
        </references>
      </pivotArea>
    </format>
    <format dxfId="2211">
      <pivotArea dataOnly="0" labelOnly="1" fieldPosition="0">
        <references count="3">
          <reference field="0" count="1" selected="0">
            <x v="4"/>
          </reference>
          <reference field="1" count="1" selected="0">
            <x v="232"/>
          </reference>
          <reference field="2" count="1">
            <x v="90"/>
          </reference>
        </references>
      </pivotArea>
    </format>
    <format dxfId="2210">
      <pivotArea dataOnly="0" labelOnly="1" fieldPosition="0">
        <references count="3">
          <reference field="0" count="1" selected="0">
            <x v="5"/>
          </reference>
          <reference field="1" count="1" selected="0">
            <x v="233"/>
          </reference>
          <reference field="2" count="1">
            <x v="224"/>
          </reference>
        </references>
      </pivotArea>
    </format>
    <format dxfId="2209">
      <pivotArea dataOnly="0" labelOnly="1" fieldPosition="0">
        <references count="3">
          <reference field="0" count="1" selected="0">
            <x v="7"/>
          </reference>
          <reference field="1" count="1" selected="0">
            <x v="118"/>
          </reference>
          <reference field="2" count="1">
            <x v="171"/>
          </reference>
        </references>
      </pivotArea>
    </format>
    <format dxfId="2208">
      <pivotArea dataOnly="0" labelOnly="1" fieldPosition="0">
        <references count="3">
          <reference field="0" count="1" selected="0">
            <x v="9"/>
          </reference>
          <reference field="1" count="1" selected="0">
            <x v="120"/>
          </reference>
          <reference field="2" count="1">
            <x v="168"/>
          </reference>
        </references>
      </pivotArea>
    </format>
    <format dxfId="2207">
      <pivotArea dataOnly="0" labelOnly="1" fieldPosition="0">
        <references count="3">
          <reference field="0" count="1" selected="0">
            <x v="10"/>
          </reference>
          <reference field="1" count="1" selected="0">
            <x v="121"/>
          </reference>
          <reference field="2" count="1">
            <x v="82"/>
          </reference>
        </references>
      </pivotArea>
    </format>
    <format dxfId="2206">
      <pivotArea dataOnly="0" labelOnly="1" fieldPosition="0">
        <references count="3">
          <reference field="0" count="1" selected="0">
            <x v="11"/>
          </reference>
          <reference field="1" count="1" selected="0">
            <x v="122"/>
          </reference>
          <reference field="2" count="1">
            <x v="26"/>
          </reference>
        </references>
      </pivotArea>
    </format>
    <format dxfId="2205">
      <pivotArea dataOnly="0" labelOnly="1" fieldPosition="0">
        <references count="3">
          <reference field="0" count="1" selected="0">
            <x v="12"/>
          </reference>
          <reference field="1" count="1" selected="0">
            <x v="123"/>
          </reference>
          <reference field="2" count="1">
            <x v="150"/>
          </reference>
        </references>
      </pivotArea>
    </format>
    <format dxfId="2204">
      <pivotArea dataOnly="0" labelOnly="1" fieldPosition="0">
        <references count="3">
          <reference field="0" count="1" selected="0">
            <x v="16"/>
          </reference>
          <reference field="1" count="1" selected="0">
            <x v="64"/>
          </reference>
          <reference field="2" count="1">
            <x v="157"/>
          </reference>
        </references>
      </pivotArea>
    </format>
    <format dxfId="2203">
      <pivotArea dataOnly="0" labelOnly="1" fieldPosition="0">
        <references count="3">
          <reference field="0" count="1" selected="0">
            <x v="18"/>
          </reference>
          <reference field="1" count="1" selected="0">
            <x v="66"/>
          </reference>
          <reference field="2" count="1">
            <x v="189"/>
          </reference>
        </references>
      </pivotArea>
    </format>
    <format dxfId="2202">
      <pivotArea dataOnly="0" labelOnly="1" fieldPosition="0">
        <references count="3">
          <reference field="0" count="1" selected="0">
            <x v="22"/>
          </reference>
          <reference field="1" count="1" selected="0">
            <x v="19"/>
          </reference>
          <reference field="2" count="1">
            <x v="39"/>
          </reference>
        </references>
      </pivotArea>
    </format>
    <format dxfId="2201">
      <pivotArea dataOnly="0" labelOnly="1" fieldPosition="0">
        <references count="3">
          <reference field="0" count="1" selected="0">
            <x v="25"/>
          </reference>
          <reference field="1" count="1" selected="0">
            <x v="22"/>
          </reference>
          <reference field="2" count="1">
            <x v="84"/>
          </reference>
        </references>
      </pivotArea>
    </format>
    <format dxfId="2200">
      <pivotArea dataOnly="0" labelOnly="1" fieldPosition="0">
        <references count="3">
          <reference field="0" count="1" selected="0">
            <x v="26"/>
          </reference>
          <reference field="1" count="1" selected="0">
            <x v="23"/>
          </reference>
          <reference field="2" count="1">
            <x v="217"/>
          </reference>
        </references>
      </pivotArea>
    </format>
    <format dxfId="2199">
      <pivotArea dataOnly="0" labelOnly="1" fieldPosition="0">
        <references count="3">
          <reference field="0" count="1" selected="0">
            <x v="28"/>
          </reference>
          <reference field="1" count="1" selected="0">
            <x v="25"/>
          </reference>
          <reference field="2" count="1">
            <x v="52"/>
          </reference>
        </references>
      </pivotArea>
    </format>
    <format dxfId="2198">
      <pivotArea dataOnly="0" labelOnly="1" fieldPosition="0">
        <references count="3">
          <reference field="0" count="1" selected="0">
            <x v="29"/>
          </reference>
          <reference field="1" count="1" selected="0">
            <x v="26"/>
          </reference>
          <reference field="2" count="1">
            <x v="62"/>
          </reference>
        </references>
      </pivotArea>
    </format>
    <format dxfId="2197">
      <pivotArea dataOnly="0" labelOnly="1" fieldPosition="0">
        <references count="3">
          <reference field="0" count="1" selected="0">
            <x v="30"/>
          </reference>
          <reference field="1" count="1" selected="0">
            <x v="27"/>
          </reference>
          <reference field="2" count="1">
            <x v="7"/>
          </reference>
        </references>
      </pivotArea>
    </format>
    <format dxfId="2196">
      <pivotArea dataOnly="0" labelOnly="1" fieldPosition="0">
        <references count="3">
          <reference field="0" count="1" selected="0">
            <x v="31"/>
          </reference>
          <reference field="1" count="1" selected="0">
            <x v="28"/>
          </reference>
          <reference field="2" count="1">
            <x v="53"/>
          </reference>
        </references>
      </pivotArea>
    </format>
    <format dxfId="2195">
      <pivotArea dataOnly="0" labelOnly="1" fieldPosition="0">
        <references count="3">
          <reference field="0" count="1" selected="0">
            <x v="35"/>
          </reference>
          <reference field="1" count="1" selected="0">
            <x v="32"/>
          </reference>
          <reference field="2" count="1">
            <x v="51"/>
          </reference>
        </references>
      </pivotArea>
    </format>
    <format dxfId="2194">
      <pivotArea dataOnly="0" labelOnly="1" fieldPosition="0">
        <references count="3">
          <reference field="0" count="1" selected="0">
            <x v="36"/>
          </reference>
          <reference field="1" count="1" selected="0">
            <x v="33"/>
          </reference>
          <reference field="2" count="1">
            <x v="130"/>
          </reference>
        </references>
      </pivotArea>
    </format>
    <format dxfId="2193">
      <pivotArea dataOnly="0" labelOnly="1" fieldPosition="0">
        <references count="3">
          <reference field="0" count="1" selected="0">
            <x v="37"/>
          </reference>
          <reference field="1" count="1" selected="0">
            <x v="34"/>
          </reference>
          <reference field="2" count="1">
            <x v="70"/>
          </reference>
        </references>
      </pivotArea>
    </format>
    <format dxfId="2192">
      <pivotArea dataOnly="0" labelOnly="1" fieldPosition="0">
        <references count="3">
          <reference field="0" count="1" selected="0">
            <x v="38"/>
          </reference>
          <reference field="1" count="1" selected="0">
            <x v="0"/>
          </reference>
          <reference field="2" count="1">
            <x v="45"/>
          </reference>
        </references>
      </pivotArea>
    </format>
    <format dxfId="2191">
      <pivotArea dataOnly="0" labelOnly="1" fieldPosition="0">
        <references count="3">
          <reference field="0" count="1" selected="0">
            <x v="39"/>
          </reference>
          <reference field="1" count="1" selected="0">
            <x v="1"/>
          </reference>
          <reference field="2" count="1">
            <x v="46"/>
          </reference>
        </references>
      </pivotArea>
    </format>
    <format dxfId="2190">
      <pivotArea dataOnly="0" labelOnly="1" fieldPosition="0">
        <references count="3">
          <reference field="0" count="1" selected="0">
            <x v="40"/>
          </reference>
          <reference field="1" count="1" selected="0">
            <x v="2"/>
          </reference>
          <reference field="2" count="1">
            <x v="128"/>
          </reference>
        </references>
      </pivotArea>
    </format>
    <format dxfId="2189">
      <pivotArea dataOnly="0" labelOnly="1" fieldPosition="0">
        <references count="3">
          <reference field="0" count="1" selected="0">
            <x v="41"/>
          </reference>
          <reference field="1" count="1" selected="0">
            <x v="3"/>
          </reference>
          <reference field="2" count="1">
            <x v="105"/>
          </reference>
        </references>
      </pivotArea>
    </format>
    <format dxfId="2188">
      <pivotArea dataOnly="0" labelOnly="1" fieldPosition="0">
        <references count="3">
          <reference field="0" count="1" selected="0">
            <x v="42"/>
          </reference>
          <reference field="1" count="1" selected="0">
            <x v="4"/>
          </reference>
          <reference field="2" count="1">
            <x v="64"/>
          </reference>
        </references>
      </pivotArea>
    </format>
    <format dxfId="2187">
      <pivotArea dataOnly="0" labelOnly="1" fieldPosition="0">
        <references count="3">
          <reference field="0" count="1" selected="0">
            <x v="43"/>
          </reference>
          <reference field="1" count="1" selected="0">
            <x v="5"/>
          </reference>
          <reference field="2" count="1">
            <x v="19"/>
          </reference>
        </references>
      </pivotArea>
    </format>
    <format dxfId="2186">
      <pivotArea dataOnly="0" labelOnly="1" fieldPosition="0">
        <references count="3">
          <reference field="0" count="1" selected="0">
            <x v="44"/>
          </reference>
          <reference field="1" count="1" selected="0">
            <x v="6"/>
          </reference>
          <reference field="2" count="1">
            <x v="23"/>
          </reference>
        </references>
      </pivotArea>
    </format>
    <format dxfId="2185">
      <pivotArea dataOnly="0" labelOnly="1" fieldPosition="0">
        <references count="3">
          <reference field="0" count="1" selected="0">
            <x v="45"/>
          </reference>
          <reference field="1" count="1" selected="0">
            <x v="7"/>
          </reference>
          <reference field="2" count="1">
            <x v="22"/>
          </reference>
        </references>
      </pivotArea>
    </format>
    <format dxfId="2184">
      <pivotArea dataOnly="0" labelOnly="1" fieldPosition="0">
        <references count="3">
          <reference field="0" count="1" selected="0">
            <x v="46"/>
          </reference>
          <reference field="1" count="1" selected="0">
            <x v="8"/>
          </reference>
          <reference field="2" count="1">
            <x v="135"/>
          </reference>
        </references>
      </pivotArea>
    </format>
    <format dxfId="2183">
      <pivotArea dataOnly="0" labelOnly="1" fieldPosition="0">
        <references count="3">
          <reference field="0" count="1" selected="0">
            <x v="47"/>
          </reference>
          <reference field="1" count="1" selected="0">
            <x v="9"/>
          </reference>
          <reference field="2" count="1">
            <x v="141"/>
          </reference>
        </references>
      </pivotArea>
    </format>
    <format dxfId="2182">
      <pivotArea dataOnly="0" labelOnly="1" fieldPosition="0">
        <references count="3">
          <reference field="0" count="1" selected="0">
            <x v="49"/>
          </reference>
          <reference field="1" count="1" selected="0">
            <x v="11"/>
          </reference>
          <reference field="2" count="1">
            <x v="127"/>
          </reference>
        </references>
      </pivotArea>
    </format>
    <format dxfId="2181">
      <pivotArea dataOnly="0" labelOnly="1" fieldPosition="0">
        <references count="3">
          <reference field="0" count="1" selected="0">
            <x v="55"/>
          </reference>
          <reference field="1" count="1" selected="0">
            <x v="35"/>
          </reference>
          <reference field="2" count="1">
            <x v="65"/>
          </reference>
        </references>
      </pivotArea>
    </format>
    <format dxfId="2180">
      <pivotArea dataOnly="0" labelOnly="1" fieldPosition="0">
        <references count="3">
          <reference field="0" count="1" selected="0">
            <x v="56"/>
          </reference>
          <reference field="1" count="1" selected="0">
            <x v="36"/>
          </reference>
          <reference field="2" count="1">
            <x v="183"/>
          </reference>
        </references>
      </pivotArea>
    </format>
    <format dxfId="2179">
      <pivotArea dataOnly="0" labelOnly="1" fieldPosition="0">
        <references count="3">
          <reference field="0" count="1" selected="0">
            <x v="62"/>
          </reference>
          <reference field="1" count="1" selected="0">
            <x v="42"/>
          </reference>
          <reference field="2" count="1">
            <x v="15"/>
          </reference>
        </references>
      </pivotArea>
    </format>
    <format dxfId="2178">
      <pivotArea dataOnly="0" labelOnly="1" fieldPosition="0">
        <references count="3">
          <reference field="0" count="1" selected="0">
            <x v="63"/>
          </reference>
          <reference field="1" count="1" selected="0">
            <x v="43"/>
          </reference>
          <reference field="2" count="1">
            <x v="152"/>
          </reference>
        </references>
      </pivotArea>
    </format>
    <format dxfId="2177">
      <pivotArea dataOnly="0" labelOnly="1" fieldPosition="0">
        <references count="3">
          <reference field="0" count="1" selected="0">
            <x v="64"/>
          </reference>
          <reference field="1" count="1" selected="0">
            <x v="44"/>
          </reference>
          <reference field="2" count="1">
            <x v="146"/>
          </reference>
        </references>
      </pivotArea>
    </format>
    <format dxfId="2176">
      <pivotArea dataOnly="0" labelOnly="1" fieldPosition="0">
        <references count="3">
          <reference field="0" count="1" selected="0">
            <x v="65"/>
          </reference>
          <reference field="1" count="1" selected="0">
            <x v="45"/>
          </reference>
          <reference field="2" count="1">
            <x v="204"/>
          </reference>
        </references>
      </pivotArea>
    </format>
    <format dxfId="2175">
      <pivotArea dataOnly="0" labelOnly="1" fieldPosition="0">
        <references count="3">
          <reference field="0" count="1" selected="0">
            <x v="66"/>
          </reference>
          <reference field="1" count="1" selected="0">
            <x v="46"/>
          </reference>
          <reference field="2" count="1">
            <x v="92"/>
          </reference>
        </references>
      </pivotArea>
    </format>
    <format dxfId="2174">
      <pivotArea dataOnly="0" labelOnly="1" fieldPosition="0">
        <references count="3">
          <reference field="0" count="1" selected="0">
            <x v="67"/>
          </reference>
          <reference field="1" count="1" selected="0">
            <x v="47"/>
          </reference>
          <reference field="2" count="1">
            <x v="181"/>
          </reference>
        </references>
      </pivotArea>
    </format>
    <format dxfId="2173">
      <pivotArea dataOnly="0" labelOnly="1" fieldPosition="0">
        <references count="3">
          <reference field="0" count="1" selected="0">
            <x v="68"/>
          </reference>
          <reference field="1" count="1" selected="0">
            <x v="48"/>
          </reference>
          <reference field="2" count="1">
            <x v="231"/>
          </reference>
        </references>
      </pivotArea>
    </format>
    <format dxfId="2172">
      <pivotArea dataOnly="0" labelOnly="1" fieldPosition="0">
        <references count="3">
          <reference field="0" count="1" selected="0">
            <x v="79"/>
          </reference>
          <reference field="1" count="1" selected="0">
            <x v="59"/>
          </reference>
          <reference field="2" count="1">
            <x v="21"/>
          </reference>
        </references>
      </pivotArea>
    </format>
    <format dxfId="2171">
      <pivotArea dataOnly="0" labelOnly="1" fieldPosition="0">
        <references count="3">
          <reference field="0" count="1" selected="0">
            <x v="81"/>
          </reference>
          <reference field="1" count="1" selected="0">
            <x v="68"/>
          </reference>
          <reference field="2" count="1">
            <x v="112"/>
          </reference>
        </references>
      </pivotArea>
    </format>
    <format dxfId="2170">
      <pivotArea dataOnly="0" labelOnly="1" fieldPosition="0">
        <references count="3">
          <reference field="0" count="1" selected="0">
            <x v="82"/>
          </reference>
          <reference field="1" count="1" selected="0">
            <x v="69"/>
          </reference>
          <reference field="2" count="1">
            <x v="226"/>
          </reference>
        </references>
      </pivotArea>
    </format>
    <format dxfId="2169">
      <pivotArea dataOnly="0" labelOnly="1" fieldPosition="0">
        <references count="3">
          <reference field="0" count="1" selected="0">
            <x v="83"/>
          </reference>
          <reference field="1" count="1" selected="0">
            <x v="70"/>
          </reference>
          <reference field="2" count="1">
            <x v="193"/>
          </reference>
        </references>
      </pivotArea>
    </format>
    <format dxfId="2168">
      <pivotArea dataOnly="0" labelOnly="1" fieldPosition="0">
        <references count="3">
          <reference field="0" count="1" selected="0">
            <x v="84"/>
          </reference>
          <reference field="1" count="1" selected="0">
            <x v="71"/>
          </reference>
          <reference field="2" count="1">
            <x v="192"/>
          </reference>
        </references>
      </pivotArea>
    </format>
    <format dxfId="2167">
      <pivotArea dataOnly="0" labelOnly="1" fieldPosition="0">
        <references count="3">
          <reference field="0" count="1" selected="0">
            <x v="85"/>
          </reference>
          <reference field="1" count="1" selected="0">
            <x v="72"/>
          </reference>
          <reference field="2" count="1">
            <x v="87"/>
          </reference>
        </references>
      </pivotArea>
    </format>
    <format dxfId="2166">
      <pivotArea dataOnly="0" labelOnly="1" fieldPosition="0">
        <references count="3">
          <reference field="0" count="1" selected="0">
            <x v="86"/>
          </reference>
          <reference field="1" count="1" selected="0">
            <x v="73"/>
          </reference>
          <reference field="2" count="1">
            <x v="154"/>
          </reference>
        </references>
      </pivotArea>
    </format>
    <format dxfId="2165">
      <pivotArea dataOnly="0" labelOnly="1" fieldPosition="0">
        <references count="3">
          <reference field="0" count="1" selected="0">
            <x v="87"/>
          </reference>
          <reference field="1" count="1" selected="0">
            <x v="74"/>
          </reference>
          <reference field="2" count="1">
            <x v="208"/>
          </reference>
        </references>
      </pivotArea>
    </format>
    <format dxfId="2164">
      <pivotArea dataOnly="0" labelOnly="1" fieldPosition="0">
        <references count="3">
          <reference field="0" count="1" selected="0">
            <x v="88"/>
          </reference>
          <reference field="1" count="1" selected="0">
            <x v="75"/>
          </reference>
          <reference field="2" count="1">
            <x v="38"/>
          </reference>
        </references>
      </pivotArea>
    </format>
    <format dxfId="2163">
      <pivotArea dataOnly="0" labelOnly="1" fieldPosition="0">
        <references count="3">
          <reference field="0" count="1" selected="0">
            <x v="89"/>
          </reference>
          <reference field="1" count="1" selected="0">
            <x v="76"/>
          </reference>
          <reference field="2" count="1">
            <x v="232"/>
          </reference>
        </references>
      </pivotArea>
    </format>
    <format dxfId="2162">
      <pivotArea dataOnly="0" labelOnly="1" fieldPosition="0">
        <references count="3">
          <reference field="0" count="1" selected="0">
            <x v="90"/>
          </reference>
          <reference field="1" count="1" selected="0">
            <x v="77"/>
          </reference>
          <reference field="2" count="1">
            <x v="43"/>
          </reference>
        </references>
      </pivotArea>
    </format>
    <format dxfId="2161">
      <pivotArea dataOnly="0" labelOnly="1" fieldPosition="0">
        <references count="3">
          <reference field="0" count="1" selected="0">
            <x v="91"/>
          </reference>
          <reference field="1" count="1" selected="0">
            <x v="78"/>
          </reference>
          <reference field="2" count="1">
            <x v="12"/>
          </reference>
        </references>
      </pivotArea>
    </format>
    <format dxfId="2160">
      <pivotArea dataOnly="0" labelOnly="1" fieldPosition="0">
        <references count="3">
          <reference field="0" count="1" selected="0">
            <x v="93"/>
          </reference>
          <reference field="1" count="1" selected="0">
            <x v="80"/>
          </reference>
          <reference field="2" count="1">
            <x v="180"/>
          </reference>
        </references>
      </pivotArea>
    </format>
    <format dxfId="2159">
      <pivotArea dataOnly="0" labelOnly="1" fieldPosition="0">
        <references count="3">
          <reference field="0" count="1" selected="0">
            <x v="94"/>
          </reference>
          <reference field="1" count="1" selected="0">
            <x v="81"/>
          </reference>
          <reference field="2" count="1">
            <x v="60"/>
          </reference>
        </references>
      </pivotArea>
    </format>
    <format dxfId="2158">
      <pivotArea dataOnly="0" labelOnly="1" fieldPosition="0">
        <references count="3">
          <reference field="0" count="1" selected="0">
            <x v="95"/>
          </reference>
          <reference field="1" count="1" selected="0">
            <x v="82"/>
          </reference>
          <reference field="2" count="1">
            <x v="5"/>
          </reference>
        </references>
      </pivotArea>
    </format>
    <format dxfId="2157">
      <pivotArea dataOnly="0" labelOnly="1" fieldPosition="0">
        <references count="3">
          <reference field="0" count="1" selected="0">
            <x v="96"/>
          </reference>
          <reference field="1" count="1" selected="0">
            <x v="83"/>
          </reference>
          <reference field="2" count="1">
            <x v="173"/>
          </reference>
        </references>
      </pivotArea>
    </format>
    <format dxfId="2156">
      <pivotArea dataOnly="0" labelOnly="1" fieldPosition="0">
        <references count="3">
          <reference field="0" count="1" selected="0">
            <x v="97"/>
          </reference>
          <reference field="1" count="1" selected="0">
            <x v="84"/>
          </reference>
          <reference field="2" count="1">
            <x v="6"/>
          </reference>
        </references>
      </pivotArea>
    </format>
    <format dxfId="2155">
      <pivotArea dataOnly="0" labelOnly="1" fieldPosition="0">
        <references count="3">
          <reference field="0" count="1" selected="0">
            <x v="98"/>
          </reference>
          <reference field="1" count="1" selected="0">
            <x v="85"/>
          </reference>
          <reference field="2" count="1">
            <x v="214"/>
          </reference>
        </references>
      </pivotArea>
    </format>
    <format dxfId="2154">
      <pivotArea dataOnly="0" labelOnly="1" fieldPosition="0">
        <references count="3">
          <reference field="0" count="1" selected="0">
            <x v="99"/>
          </reference>
          <reference field="1" count="1" selected="0">
            <x v="86"/>
          </reference>
          <reference field="2" count="1">
            <x v="66"/>
          </reference>
        </references>
      </pivotArea>
    </format>
    <format dxfId="2153">
      <pivotArea dataOnly="0" labelOnly="1" fieldPosition="0">
        <references count="3">
          <reference field="0" count="1" selected="0">
            <x v="100"/>
          </reference>
          <reference field="1" count="1" selected="0">
            <x v="87"/>
          </reference>
          <reference field="2" count="1">
            <x v="75"/>
          </reference>
        </references>
      </pivotArea>
    </format>
    <format dxfId="2152">
      <pivotArea dataOnly="0" labelOnly="1" fieldPosition="0">
        <references count="3">
          <reference field="0" count="1" selected="0">
            <x v="101"/>
          </reference>
          <reference field="1" count="1" selected="0">
            <x v="88"/>
          </reference>
          <reference field="2" count="1">
            <x v="29"/>
          </reference>
        </references>
      </pivotArea>
    </format>
    <format dxfId="2151">
      <pivotArea dataOnly="0" labelOnly="1" fieldPosition="0">
        <references count="3">
          <reference field="0" count="1" selected="0">
            <x v="102"/>
          </reference>
          <reference field="1" count="1" selected="0">
            <x v="89"/>
          </reference>
          <reference field="2" count="1">
            <x v="14"/>
          </reference>
        </references>
      </pivotArea>
    </format>
    <format dxfId="2150">
      <pivotArea dataOnly="0" labelOnly="1" fieldPosition="0">
        <references count="3">
          <reference field="0" count="1" selected="0">
            <x v="103"/>
          </reference>
          <reference field="1" count="1" selected="0">
            <x v="90"/>
          </reference>
          <reference field="2" count="1">
            <x v="73"/>
          </reference>
        </references>
      </pivotArea>
    </format>
    <format dxfId="2149">
      <pivotArea dataOnly="0" labelOnly="1" fieldPosition="0">
        <references count="3">
          <reference field="0" count="1" selected="0">
            <x v="104"/>
          </reference>
          <reference field="1" count="1" selected="0">
            <x v="91"/>
          </reference>
          <reference field="2" count="1">
            <x v="68"/>
          </reference>
        </references>
      </pivotArea>
    </format>
    <format dxfId="2148">
      <pivotArea dataOnly="0" labelOnly="1" fieldPosition="0">
        <references count="3">
          <reference field="0" count="1" selected="0">
            <x v="105"/>
          </reference>
          <reference field="1" count="1" selected="0">
            <x v="92"/>
          </reference>
          <reference field="2" count="1">
            <x v="134"/>
          </reference>
        </references>
      </pivotArea>
    </format>
    <format dxfId="2147">
      <pivotArea dataOnly="0" labelOnly="1" fieldPosition="0">
        <references count="3">
          <reference field="0" count="1" selected="0">
            <x v="106"/>
          </reference>
          <reference field="1" count="1" selected="0">
            <x v="93"/>
          </reference>
          <reference field="2" count="1">
            <x v="76"/>
          </reference>
        </references>
      </pivotArea>
    </format>
    <format dxfId="2146">
      <pivotArea dataOnly="0" labelOnly="1" fieldPosition="0">
        <references count="3">
          <reference field="0" count="1" selected="0">
            <x v="107"/>
          </reference>
          <reference field="1" count="1" selected="0">
            <x v="94"/>
          </reference>
          <reference field="2" count="1">
            <x v="190"/>
          </reference>
        </references>
      </pivotArea>
    </format>
    <format dxfId="2145">
      <pivotArea dataOnly="0" labelOnly="1" fieldPosition="0">
        <references count="3">
          <reference field="0" count="1" selected="0">
            <x v="108"/>
          </reference>
          <reference field="1" count="1" selected="0">
            <x v="95"/>
          </reference>
          <reference field="2" count="1">
            <x v="236"/>
          </reference>
        </references>
      </pivotArea>
    </format>
    <format dxfId="2144">
      <pivotArea dataOnly="0" labelOnly="1" fieldPosition="0">
        <references count="3">
          <reference field="0" count="1" selected="0">
            <x v="110"/>
          </reference>
          <reference field="1" count="1" selected="0">
            <x v="97"/>
          </reference>
          <reference field="2" count="1">
            <x v="123"/>
          </reference>
        </references>
      </pivotArea>
    </format>
    <format dxfId="2143">
      <pivotArea dataOnly="0" labelOnly="1" fieldPosition="0">
        <references count="3">
          <reference field="0" count="1" selected="0">
            <x v="111"/>
          </reference>
          <reference field="1" count="1" selected="0">
            <x v="98"/>
          </reference>
          <reference field="2" count="1">
            <x v="83"/>
          </reference>
        </references>
      </pivotArea>
    </format>
    <format dxfId="2142">
      <pivotArea dataOnly="0" labelOnly="1" fieldPosition="0">
        <references count="3">
          <reference field="0" count="1" selected="0">
            <x v="113"/>
          </reference>
          <reference field="1" count="1" selected="0">
            <x v="100"/>
          </reference>
          <reference field="2" count="1">
            <x v="124"/>
          </reference>
        </references>
      </pivotArea>
    </format>
    <format dxfId="2141">
      <pivotArea dataOnly="0" labelOnly="1" fieldPosition="0">
        <references count="3">
          <reference field="0" count="1" selected="0">
            <x v="121"/>
          </reference>
          <reference field="1" count="1" selected="0">
            <x v="108"/>
          </reference>
          <reference field="2" count="1">
            <x v="207"/>
          </reference>
        </references>
      </pivotArea>
    </format>
    <format dxfId="2140">
      <pivotArea dataOnly="0" labelOnly="1" fieldPosition="0">
        <references count="3">
          <reference field="0" count="1" selected="0">
            <x v="122"/>
          </reference>
          <reference field="1" count="1" selected="0">
            <x v="109"/>
          </reference>
          <reference field="2" count="1">
            <x v="35"/>
          </reference>
        </references>
      </pivotArea>
    </format>
    <format dxfId="2139">
      <pivotArea dataOnly="0" labelOnly="1" fieldPosition="0">
        <references count="3">
          <reference field="0" count="1" selected="0">
            <x v="123"/>
          </reference>
          <reference field="1" count="1" selected="0">
            <x v="110"/>
          </reference>
          <reference field="2" count="1">
            <x v="176"/>
          </reference>
        </references>
      </pivotArea>
    </format>
    <format dxfId="2138">
      <pivotArea dataOnly="0" labelOnly="1" fieldPosition="0">
        <references count="3">
          <reference field="0" count="1" selected="0">
            <x v="124"/>
          </reference>
          <reference field="1" count="1" selected="0">
            <x v="111"/>
          </reference>
          <reference field="2" count="1">
            <x v="218"/>
          </reference>
        </references>
      </pivotArea>
    </format>
    <format dxfId="2137">
      <pivotArea dataOnly="0" labelOnly="1" fieldPosition="0">
        <references count="3">
          <reference field="0" count="1" selected="0">
            <x v="125"/>
          </reference>
          <reference field="1" count="1" selected="0">
            <x v="112"/>
          </reference>
          <reference field="2" count="1">
            <x v="197"/>
          </reference>
        </references>
      </pivotArea>
    </format>
    <format dxfId="2136">
      <pivotArea dataOnly="0" labelOnly="1" fieldPosition="0">
        <references count="3">
          <reference field="0" count="1" selected="0">
            <x v="126"/>
          </reference>
          <reference field="1" count="1" selected="0">
            <x v="113"/>
          </reference>
          <reference field="2" count="1">
            <x v="191"/>
          </reference>
        </references>
      </pivotArea>
    </format>
    <format dxfId="2135">
      <pivotArea dataOnly="0" labelOnly="1" fieldPosition="0">
        <references count="3">
          <reference field="0" count="1" selected="0">
            <x v="127"/>
          </reference>
          <reference field="1" count="1" selected="0">
            <x v="114"/>
          </reference>
          <reference field="2" count="1">
            <x v="174"/>
          </reference>
        </references>
      </pivotArea>
    </format>
    <format dxfId="2134">
      <pivotArea dataOnly="0" labelOnly="1" fieldPosition="0">
        <references count="3">
          <reference field="0" count="1" selected="0">
            <x v="128"/>
          </reference>
          <reference field="1" count="1" selected="0">
            <x v="115"/>
          </reference>
          <reference field="2" count="1">
            <x v="59"/>
          </reference>
        </references>
      </pivotArea>
    </format>
    <format dxfId="2133">
      <pivotArea dataOnly="0" labelOnly="1" fieldPosition="0">
        <references count="3">
          <reference field="0" count="1" selected="0">
            <x v="129"/>
          </reference>
          <reference field="1" count="1" selected="0">
            <x v="116"/>
          </reference>
          <reference field="2" count="1">
            <x v="212"/>
          </reference>
        </references>
      </pivotArea>
    </format>
    <format dxfId="2132">
      <pivotArea dataOnly="0" labelOnly="1" fieldPosition="0">
        <references count="3">
          <reference field="0" count="1" selected="0">
            <x v="130"/>
          </reference>
          <reference field="1" count="1" selected="0">
            <x v="117"/>
          </reference>
          <reference field="2" count="1">
            <x v="118"/>
          </reference>
        </references>
      </pivotArea>
    </format>
    <format dxfId="2131">
      <pivotArea dataOnly="0" labelOnly="1" fieldPosition="0">
        <references count="3">
          <reference field="0" count="1" selected="0">
            <x v="134"/>
          </reference>
          <reference field="1" count="1" selected="0">
            <x v="127"/>
          </reference>
          <reference field="2" count="1">
            <x v="2"/>
          </reference>
        </references>
      </pivotArea>
    </format>
    <format dxfId="2130">
      <pivotArea dataOnly="0" labelOnly="1" fieldPosition="0">
        <references count="3">
          <reference field="0" count="1" selected="0">
            <x v="135"/>
          </reference>
          <reference field="1" count="1" selected="0">
            <x v="128"/>
          </reference>
          <reference field="2" count="1">
            <x v="151"/>
          </reference>
        </references>
      </pivotArea>
    </format>
    <format dxfId="2129">
      <pivotArea dataOnly="0" labelOnly="1" fieldPosition="0">
        <references count="3">
          <reference field="0" count="1" selected="0">
            <x v="136"/>
          </reference>
          <reference field="1" count="1" selected="0">
            <x v="129"/>
          </reference>
          <reference field="2" count="1">
            <x v="219"/>
          </reference>
        </references>
      </pivotArea>
    </format>
    <format dxfId="2128">
      <pivotArea dataOnly="0" labelOnly="1" fieldPosition="0">
        <references count="3">
          <reference field="0" count="1" selected="0">
            <x v="144"/>
          </reference>
          <reference field="1" count="1" selected="0">
            <x v="137"/>
          </reference>
          <reference field="2" count="1">
            <x v="79"/>
          </reference>
        </references>
      </pivotArea>
    </format>
    <format dxfId="2127">
      <pivotArea dataOnly="0" labelOnly="1" fieldPosition="0">
        <references count="3">
          <reference field="0" count="1" selected="0">
            <x v="146"/>
          </reference>
          <reference field="1" count="1" selected="0">
            <x v="139"/>
          </reference>
          <reference field="2" count="1">
            <x v="30"/>
          </reference>
        </references>
      </pivotArea>
    </format>
    <format dxfId="2126">
      <pivotArea dataOnly="0" labelOnly="1" fieldPosition="0">
        <references count="3">
          <reference field="0" count="1" selected="0">
            <x v="147"/>
          </reference>
          <reference field="1" count="1" selected="0">
            <x v="140"/>
          </reference>
          <reference field="2" count="1">
            <x v="211"/>
          </reference>
        </references>
      </pivotArea>
    </format>
    <format dxfId="2125">
      <pivotArea dataOnly="0" labelOnly="1" fieldPosition="0">
        <references count="3">
          <reference field="0" count="1" selected="0">
            <x v="148"/>
          </reference>
          <reference field="1" count="1" selected="0">
            <x v="141"/>
          </reference>
          <reference field="2" count="1">
            <x v="95"/>
          </reference>
        </references>
      </pivotArea>
    </format>
    <format dxfId="2124">
      <pivotArea dataOnly="0" labelOnly="1" fieldPosition="0">
        <references count="3">
          <reference field="0" count="1" selected="0">
            <x v="149"/>
          </reference>
          <reference field="1" count="1" selected="0">
            <x v="142"/>
          </reference>
          <reference field="2" count="1">
            <x v="165"/>
          </reference>
        </references>
      </pivotArea>
    </format>
    <format dxfId="2123">
      <pivotArea dataOnly="0" labelOnly="1" fieldPosition="0">
        <references count="3">
          <reference field="0" count="1" selected="0">
            <x v="150"/>
          </reference>
          <reference field="1" count="1" selected="0">
            <x v="143"/>
          </reference>
          <reference field="2" count="1">
            <x v="166"/>
          </reference>
        </references>
      </pivotArea>
    </format>
    <format dxfId="2122">
      <pivotArea dataOnly="0" labelOnly="1" fieldPosition="0">
        <references count="3">
          <reference field="0" count="1" selected="0">
            <x v="151"/>
          </reference>
          <reference field="1" count="1" selected="0">
            <x v="144"/>
          </reference>
          <reference field="2" count="1">
            <x v="85"/>
          </reference>
        </references>
      </pivotArea>
    </format>
    <format dxfId="2121">
      <pivotArea dataOnly="0" labelOnly="1" fieldPosition="0">
        <references count="3">
          <reference field="0" count="1" selected="0">
            <x v="152"/>
          </reference>
          <reference field="1" count="1" selected="0">
            <x v="145"/>
          </reference>
          <reference field="2" count="1">
            <x v="86"/>
          </reference>
        </references>
      </pivotArea>
    </format>
    <format dxfId="2120">
      <pivotArea dataOnly="0" labelOnly="1" fieldPosition="0">
        <references count="3">
          <reference field="0" count="1" selected="0">
            <x v="153"/>
          </reference>
          <reference field="1" count="1" selected="0">
            <x v="146"/>
          </reference>
          <reference field="2" count="1">
            <x v="54"/>
          </reference>
        </references>
      </pivotArea>
    </format>
    <format dxfId="2119">
      <pivotArea dataOnly="0" labelOnly="1" fieldPosition="0">
        <references count="3">
          <reference field="0" count="1" selected="0">
            <x v="154"/>
          </reference>
          <reference field="1" count="1" selected="0">
            <x v="147"/>
          </reference>
          <reference field="2" count="1">
            <x v="109"/>
          </reference>
        </references>
      </pivotArea>
    </format>
    <format dxfId="2118">
      <pivotArea dataOnly="0" labelOnly="1" fieldPosition="0">
        <references count="3">
          <reference field="0" count="1" selected="0">
            <x v="155"/>
          </reference>
          <reference field="1" count="1" selected="0">
            <x v="148"/>
          </reference>
          <reference field="2" count="1">
            <x v="3"/>
          </reference>
        </references>
      </pivotArea>
    </format>
    <format dxfId="2117">
      <pivotArea dataOnly="0" labelOnly="1" fieldPosition="0">
        <references count="3">
          <reference field="0" count="1" selected="0">
            <x v="159"/>
          </reference>
          <reference field="1" count="1" selected="0">
            <x v="183"/>
          </reference>
          <reference field="2" count="1">
            <x v="122"/>
          </reference>
        </references>
      </pivotArea>
    </format>
    <format dxfId="2116">
      <pivotArea dataOnly="0" labelOnly="1" fieldPosition="0">
        <references count="3">
          <reference field="0" count="1" selected="0">
            <x v="160"/>
          </reference>
          <reference field="1" count="1" selected="0">
            <x v="184"/>
          </reference>
          <reference field="2" count="1">
            <x v="187"/>
          </reference>
        </references>
      </pivotArea>
    </format>
    <format dxfId="2115">
      <pivotArea dataOnly="0" labelOnly="1" fieldPosition="0">
        <references count="3">
          <reference field="0" count="1" selected="0">
            <x v="161"/>
          </reference>
          <reference field="1" count="1" selected="0">
            <x v="185"/>
          </reference>
          <reference field="2" count="1">
            <x v="186"/>
          </reference>
        </references>
      </pivotArea>
    </format>
    <format dxfId="2114">
      <pivotArea dataOnly="0" labelOnly="1" fieldPosition="0">
        <references count="3">
          <reference field="0" count="1" selected="0">
            <x v="162"/>
          </reference>
          <reference field="1" count="1" selected="0">
            <x v="186"/>
          </reference>
          <reference field="2" count="1">
            <x v="125"/>
          </reference>
        </references>
      </pivotArea>
    </format>
    <format dxfId="2113">
      <pivotArea dataOnly="0" labelOnly="1" fieldPosition="0">
        <references count="3">
          <reference field="0" count="1" selected="0">
            <x v="164"/>
          </reference>
          <reference field="1" count="1" selected="0">
            <x v="188"/>
          </reference>
          <reference field="2" count="1">
            <x v="119"/>
          </reference>
        </references>
      </pivotArea>
    </format>
    <format dxfId="2112">
      <pivotArea dataOnly="0" labelOnly="1" fieldPosition="0">
        <references count="3">
          <reference field="0" count="1" selected="0">
            <x v="165"/>
          </reference>
          <reference field="1" count="1" selected="0">
            <x v="189"/>
          </reference>
          <reference field="2" count="1">
            <x v="156"/>
          </reference>
        </references>
      </pivotArea>
    </format>
    <format dxfId="2111">
      <pivotArea dataOnly="0" labelOnly="1" fieldPosition="0">
        <references count="3">
          <reference field="0" count="1" selected="0">
            <x v="166"/>
          </reference>
          <reference field="1" count="1" selected="0">
            <x v="190"/>
          </reference>
          <reference field="2" count="1">
            <x v="213"/>
          </reference>
        </references>
      </pivotArea>
    </format>
    <format dxfId="2110">
      <pivotArea dataOnly="0" labelOnly="1" fieldPosition="0">
        <references count="3">
          <reference field="0" count="1" selected="0">
            <x v="167"/>
          </reference>
          <reference field="1" count="1" selected="0">
            <x v="199"/>
          </reference>
          <reference field="2" count="1">
            <x v="56"/>
          </reference>
        </references>
      </pivotArea>
    </format>
    <format dxfId="2109">
      <pivotArea dataOnly="0" labelOnly="1" fieldPosition="0">
        <references count="3">
          <reference field="0" count="1" selected="0">
            <x v="168"/>
          </reference>
          <reference field="1" count="1" selected="0">
            <x v="200"/>
          </reference>
          <reference field="2" count="1">
            <x v="9"/>
          </reference>
        </references>
      </pivotArea>
    </format>
    <format dxfId="2108">
      <pivotArea dataOnly="0" labelOnly="1" fieldPosition="0">
        <references count="3">
          <reference field="0" count="1" selected="0">
            <x v="171"/>
          </reference>
          <reference field="1" count="1" selected="0">
            <x v="203"/>
          </reference>
          <reference field="2" count="1">
            <x v="10"/>
          </reference>
        </references>
      </pivotArea>
    </format>
    <format dxfId="2107">
      <pivotArea dataOnly="0" labelOnly="1" fieldPosition="0">
        <references count="3">
          <reference field="0" count="1" selected="0">
            <x v="172"/>
          </reference>
          <reference field="1" count="1" selected="0">
            <x v="204"/>
          </reference>
          <reference field="2" count="1">
            <x v="216"/>
          </reference>
        </references>
      </pivotArea>
    </format>
    <format dxfId="2106">
      <pivotArea dataOnly="0" labelOnly="1" fieldPosition="0">
        <references count="3">
          <reference field="0" count="1" selected="0">
            <x v="173"/>
          </reference>
          <reference field="1" count="1" selected="0">
            <x v="205"/>
          </reference>
          <reference field="2" count="1">
            <x v="94"/>
          </reference>
        </references>
      </pivotArea>
    </format>
    <format dxfId="2105">
      <pivotArea dataOnly="0" labelOnly="1" fieldPosition="0">
        <references count="3">
          <reference field="0" count="1" selected="0">
            <x v="175"/>
          </reference>
          <reference field="1" count="1" selected="0">
            <x v="207"/>
          </reference>
          <reference field="2" count="1">
            <x v="172"/>
          </reference>
        </references>
      </pivotArea>
    </format>
    <format dxfId="2104">
      <pivotArea dataOnly="0" labelOnly="1" fieldPosition="0">
        <references count="3">
          <reference field="0" count="1" selected="0">
            <x v="176"/>
          </reference>
          <reference field="1" count="1" selected="0">
            <x v="208"/>
          </reference>
          <reference field="2" count="1">
            <x v="215"/>
          </reference>
        </references>
      </pivotArea>
    </format>
    <format dxfId="2103">
      <pivotArea dataOnly="0" labelOnly="1" fieldPosition="0">
        <references count="3">
          <reference field="0" count="1" selected="0">
            <x v="177"/>
          </reference>
          <reference field="1" count="1" selected="0">
            <x v="209"/>
          </reference>
          <reference field="2" count="1">
            <x v="114"/>
          </reference>
        </references>
      </pivotArea>
    </format>
    <format dxfId="2102">
      <pivotArea dataOnly="0" labelOnly="1" fieldPosition="0">
        <references count="3">
          <reference field="0" count="1" selected="0">
            <x v="178"/>
          </reference>
          <reference field="1" count="1" selected="0">
            <x v="210"/>
          </reference>
          <reference field="2" count="1">
            <x v="11"/>
          </reference>
        </references>
      </pivotArea>
    </format>
    <format dxfId="2101">
      <pivotArea dataOnly="0" labelOnly="1" fieldPosition="0">
        <references count="3">
          <reference field="0" count="1" selected="0">
            <x v="179"/>
          </reference>
          <reference field="1" count="1" selected="0">
            <x v="211"/>
          </reference>
          <reference field="2" count="1">
            <x v="96"/>
          </reference>
        </references>
      </pivotArea>
    </format>
    <format dxfId="2100">
      <pivotArea dataOnly="0" labelOnly="1" fieldPosition="0">
        <references count="3">
          <reference field="0" count="1" selected="0">
            <x v="180"/>
          </reference>
          <reference field="1" count="1" selected="0">
            <x v="212"/>
          </reference>
          <reference field="2" count="1">
            <x v="97"/>
          </reference>
        </references>
      </pivotArea>
    </format>
    <format dxfId="2099">
      <pivotArea dataOnly="0" labelOnly="1" fieldPosition="0">
        <references count="3">
          <reference field="0" count="1" selected="0">
            <x v="181"/>
          </reference>
          <reference field="1" count="1" selected="0">
            <x v="213"/>
          </reference>
          <reference field="2" count="1">
            <x v="234"/>
          </reference>
        </references>
      </pivotArea>
    </format>
    <format dxfId="2098">
      <pivotArea dataOnly="0" labelOnly="1" fieldPosition="0">
        <references count="3">
          <reference field="0" count="1" selected="0">
            <x v="182"/>
          </reference>
          <reference field="1" count="1" selected="0">
            <x v="214"/>
          </reference>
          <reference field="2" count="1">
            <x v="235"/>
          </reference>
        </references>
      </pivotArea>
    </format>
    <format dxfId="2097">
      <pivotArea dataOnly="0" labelOnly="1" fieldPosition="0">
        <references count="3">
          <reference field="0" count="1" selected="0">
            <x v="183"/>
          </reference>
          <reference field="1" count="1" selected="0">
            <x v="215"/>
          </reference>
          <reference field="2" count="1">
            <x v="206"/>
          </reference>
        </references>
      </pivotArea>
    </format>
    <format dxfId="2096">
      <pivotArea dataOnly="0" labelOnly="1" fieldPosition="0">
        <references count="3">
          <reference field="0" count="1" selected="0">
            <x v="184"/>
          </reference>
          <reference field="1" count="1" selected="0">
            <x v="216"/>
          </reference>
          <reference field="2" count="1">
            <x v="111"/>
          </reference>
        </references>
      </pivotArea>
    </format>
    <format dxfId="2095">
      <pivotArea dataOnly="0" labelOnly="1" fieldPosition="0">
        <references count="3">
          <reference field="0" count="1" selected="0">
            <x v="185"/>
          </reference>
          <reference field="1" count="1" selected="0">
            <x v="217"/>
          </reference>
          <reference field="2" count="1">
            <x v="113"/>
          </reference>
        </references>
      </pivotArea>
    </format>
    <format dxfId="2094">
      <pivotArea dataOnly="0" labelOnly="1" fieldPosition="0">
        <references count="3">
          <reference field="0" count="1" selected="0">
            <x v="186"/>
          </reference>
          <reference field="1" count="1" selected="0">
            <x v="218"/>
          </reference>
          <reference field="2" count="1">
            <x v="93"/>
          </reference>
        </references>
      </pivotArea>
    </format>
    <format dxfId="2093">
      <pivotArea dataOnly="0" labelOnly="1" fieldPosition="0">
        <references count="3">
          <reference field="0" count="1" selected="0">
            <x v="187"/>
          </reference>
          <reference field="1" count="1" selected="0">
            <x v="219"/>
          </reference>
          <reference field="2" count="1">
            <x v="104"/>
          </reference>
        </references>
      </pivotArea>
    </format>
    <format dxfId="2092">
      <pivotArea dataOnly="0" labelOnly="1" fieldPosition="0">
        <references count="3">
          <reference field="0" count="1" selected="0">
            <x v="188"/>
          </reference>
          <reference field="1" count="1" selected="0">
            <x v="220"/>
          </reference>
          <reference field="2" count="1">
            <x v="196"/>
          </reference>
        </references>
      </pivotArea>
    </format>
    <format dxfId="2091">
      <pivotArea dataOnly="0" labelOnly="1" fieldPosition="0">
        <references count="3">
          <reference field="0" count="1" selected="0">
            <x v="189"/>
          </reference>
          <reference field="1" count="1" selected="0">
            <x v="221"/>
          </reference>
          <reference field="2" count="1">
            <x v="182"/>
          </reference>
        </references>
      </pivotArea>
    </format>
    <format dxfId="2090">
      <pivotArea dataOnly="0" labelOnly="1" fieldPosition="0">
        <references count="3">
          <reference field="0" count="1" selected="0">
            <x v="192"/>
          </reference>
          <reference field="1" count="1" selected="0">
            <x v="224"/>
          </reference>
          <reference field="2" count="1">
            <x v="80"/>
          </reference>
        </references>
      </pivotArea>
    </format>
    <format dxfId="2089">
      <pivotArea dataOnly="0" labelOnly="1" fieldPosition="0">
        <references count="3">
          <reference field="0" count="1" selected="0">
            <x v="193"/>
          </reference>
          <reference field="1" count="1" selected="0">
            <x v="225"/>
          </reference>
          <reference field="2" count="1">
            <x v="238"/>
          </reference>
        </references>
      </pivotArea>
    </format>
    <format dxfId="2088">
      <pivotArea dataOnly="0" labelOnly="1" fieldPosition="0">
        <references count="3">
          <reference field="0" count="1" selected="0">
            <x v="197"/>
          </reference>
          <reference field="1" count="1" selected="0">
            <x v="236"/>
          </reference>
          <reference field="2" count="1">
            <x v="102"/>
          </reference>
        </references>
      </pivotArea>
    </format>
    <format dxfId="2087">
      <pivotArea dataOnly="0" labelOnly="1" fieldPosition="0">
        <references count="3">
          <reference field="0" count="1" selected="0">
            <x v="199"/>
          </reference>
          <reference field="1" count="1" selected="0">
            <x v="238"/>
          </reference>
          <reference field="2" count="1">
            <x v="33"/>
          </reference>
        </references>
      </pivotArea>
    </format>
    <format dxfId="2086">
      <pivotArea dataOnly="0" labelOnly="1" fieldPosition="0">
        <references count="3">
          <reference field="0" count="1" selected="0">
            <x v="200"/>
          </reference>
          <reference field="1" count="1" selected="0">
            <x v="239"/>
          </reference>
          <reference field="2" count="1">
            <x v="34"/>
          </reference>
        </references>
      </pivotArea>
    </format>
    <format dxfId="2085">
      <pivotArea dataOnly="0" labelOnly="1" fieldPosition="0">
        <references count="3">
          <reference field="0" count="1" selected="0">
            <x v="201"/>
          </reference>
          <reference field="1" count="1" selected="0">
            <x v="240"/>
          </reference>
          <reference field="2" count="1">
            <x v="37"/>
          </reference>
        </references>
      </pivotArea>
    </format>
    <format dxfId="2084">
      <pivotArea dataOnly="0" labelOnly="1" fieldPosition="0">
        <references count="3">
          <reference field="0" count="1" selected="0">
            <x v="204"/>
          </reference>
          <reference field="1" count="1" selected="0">
            <x v="149"/>
          </reference>
          <reference field="2" count="1">
            <x v="117"/>
          </reference>
        </references>
      </pivotArea>
    </format>
    <format dxfId="2083">
      <pivotArea dataOnly="0" labelOnly="1" fieldPosition="0">
        <references count="3">
          <reference field="0" count="1" selected="0">
            <x v="206"/>
          </reference>
          <reference field="1" count="1" selected="0">
            <x v="151"/>
          </reference>
          <reference field="2" count="1">
            <x v="159"/>
          </reference>
        </references>
      </pivotArea>
    </format>
    <format dxfId="2082">
      <pivotArea dataOnly="0" labelOnly="1" fieldPosition="0">
        <references count="3">
          <reference field="0" count="1" selected="0">
            <x v="207"/>
          </reference>
          <reference field="1" count="1" selected="0">
            <x v="152"/>
          </reference>
          <reference field="2" count="1">
            <x v="81"/>
          </reference>
        </references>
      </pivotArea>
    </format>
    <format dxfId="2081">
      <pivotArea dataOnly="0" labelOnly="1" fieldPosition="0">
        <references count="3">
          <reference field="0" count="1" selected="0">
            <x v="208"/>
          </reference>
          <reference field="1" count="1" selected="0">
            <x v="153"/>
          </reference>
          <reference field="2" count="1">
            <x v="103"/>
          </reference>
        </references>
      </pivotArea>
    </format>
    <format dxfId="2080">
      <pivotArea dataOnly="0" labelOnly="1" fieldPosition="0">
        <references count="3">
          <reference field="0" count="1" selected="0">
            <x v="209"/>
          </reference>
          <reference field="1" count="1" selected="0">
            <x v="154"/>
          </reference>
          <reference field="2" count="1">
            <x v="98"/>
          </reference>
        </references>
      </pivotArea>
    </format>
    <format dxfId="2079">
      <pivotArea dataOnly="0" labelOnly="1" fieldPosition="0">
        <references count="3">
          <reference field="0" count="1" selected="0">
            <x v="210"/>
          </reference>
          <reference field="1" count="1" selected="0">
            <x v="155"/>
          </reference>
          <reference field="2" count="1">
            <x v="162"/>
          </reference>
        </references>
      </pivotArea>
    </format>
    <format dxfId="2078">
      <pivotArea dataOnly="0" labelOnly="1" fieldPosition="0">
        <references count="3">
          <reference field="0" count="1" selected="0">
            <x v="211"/>
          </reference>
          <reference field="1" count="1" selected="0">
            <x v="156"/>
          </reference>
          <reference field="2" count="1">
            <x v="164"/>
          </reference>
        </references>
      </pivotArea>
    </format>
    <format dxfId="2077">
      <pivotArea dataOnly="0" labelOnly="1" fieldPosition="0">
        <references count="3">
          <reference field="0" count="1" selected="0">
            <x v="212"/>
          </reference>
          <reference field="1" count="1" selected="0">
            <x v="157"/>
          </reference>
          <reference field="2" count="1">
            <x v="170"/>
          </reference>
        </references>
      </pivotArea>
    </format>
    <format dxfId="2076">
      <pivotArea dataOnly="0" labelOnly="1" fieldPosition="0">
        <references count="3">
          <reference field="0" count="1" selected="0">
            <x v="214"/>
          </reference>
          <reference field="1" count="1" selected="0">
            <x v="159"/>
          </reference>
          <reference field="2" count="1">
            <x v="139"/>
          </reference>
        </references>
      </pivotArea>
    </format>
    <format dxfId="2075">
      <pivotArea dataOnly="0" labelOnly="1" fieldPosition="0">
        <references count="3">
          <reference field="0" count="1" selected="0">
            <x v="215"/>
          </reference>
          <reference field="1" count="1" selected="0">
            <x v="160"/>
          </reference>
          <reference field="2" count="1">
            <x v="137"/>
          </reference>
        </references>
      </pivotArea>
    </format>
    <format dxfId="2074">
      <pivotArea dataOnly="0" labelOnly="1" fieldPosition="0">
        <references count="3">
          <reference field="0" count="1" selected="0">
            <x v="216"/>
          </reference>
          <reference field="1" count="1" selected="0">
            <x v="161"/>
          </reference>
          <reference field="2" count="1">
            <x v="136"/>
          </reference>
        </references>
      </pivotArea>
    </format>
    <format dxfId="2073">
      <pivotArea dataOnly="0" labelOnly="1" fieldPosition="0">
        <references count="3">
          <reference field="0" count="1" selected="0">
            <x v="217"/>
          </reference>
          <reference field="1" count="1" selected="0">
            <x v="162"/>
          </reference>
          <reference field="2" count="1">
            <x v="13"/>
          </reference>
        </references>
      </pivotArea>
    </format>
    <format dxfId="2072">
      <pivotArea dataOnly="0" labelOnly="1" fieldPosition="0">
        <references count="3">
          <reference field="0" count="1" selected="0">
            <x v="218"/>
          </reference>
          <reference field="1" count="1" selected="0">
            <x v="163"/>
          </reference>
          <reference field="2" count="1">
            <x v="179"/>
          </reference>
        </references>
      </pivotArea>
    </format>
    <format dxfId="2071">
      <pivotArea dataOnly="0" labelOnly="1" fieldPosition="0">
        <references count="3">
          <reference field="0" count="1" selected="0">
            <x v="219"/>
          </reference>
          <reference field="1" count="1" selected="0">
            <x v="164"/>
          </reference>
          <reference field="2" count="1">
            <x v="138"/>
          </reference>
        </references>
      </pivotArea>
    </format>
    <format dxfId="2070">
      <pivotArea dataOnly="0" labelOnly="1" fieldPosition="0">
        <references count="3">
          <reference field="0" count="1" selected="0">
            <x v="220"/>
          </reference>
          <reference field="1" count="1" selected="0">
            <x v="165"/>
          </reference>
          <reference field="2" count="1">
            <x v="142"/>
          </reference>
        </references>
      </pivotArea>
    </format>
    <format dxfId="2069">
      <pivotArea dataOnly="0" labelOnly="1" fieldPosition="0">
        <references count="3">
          <reference field="0" count="1" selected="0">
            <x v="221"/>
          </reference>
          <reference field="1" count="1" selected="0">
            <x v="166"/>
          </reference>
          <reference field="2" count="1">
            <x v="143"/>
          </reference>
        </references>
      </pivotArea>
    </format>
    <format dxfId="2068">
      <pivotArea dataOnly="0" labelOnly="1" fieldPosition="0">
        <references count="3">
          <reference field="0" count="1" selected="0">
            <x v="223"/>
          </reference>
          <reference field="1" count="1" selected="0">
            <x v="168"/>
          </reference>
          <reference field="2" count="1">
            <x v="71"/>
          </reference>
        </references>
      </pivotArea>
    </format>
    <format dxfId="2067">
      <pivotArea dataOnly="0" labelOnly="1" fieldPosition="0">
        <references count="3">
          <reference field="0" count="1" selected="0">
            <x v="224"/>
          </reference>
          <reference field="1" count="1" selected="0">
            <x v="169"/>
          </reference>
          <reference field="2" count="1">
            <x v="121"/>
          </reference>
        </references>
      </pivotArea>
    </format>
    <format dxfId="2066">
      <pivotArea dataOnly="0" labelOnly="1" fieldPosition="0">
        <references count="3">
          <reference field="0" count="1" selected="0">
            <x v="225"/>
          </reference>
          <reference field="1" count="1" selected="0">
            <x v="170"/>
          </reference>
          <reference field="2" count="1">
            <x v="120"/>
          </reference>
        </references>
      </pivotArea>
    </format>
    <format dxfId="2065">
      <pivotArea dataOnly="0" labelOnly="1" fieldPosition="0">
        <references count="3">
          <reference field="0" count="1" selected="0">
            <x v="226"/>
          </reference>
          <reference field="1" count="1" selected="0">
            <x v="171"/>
          </reference>
          <reference field="2" count="1">
            <x v="41"/>
          </reference>
        </references>
      </pivotArea>
    </format>
    <format dxfId="2064">
      <pivotArea dataOnly="0" labelOnly="1" fieldPosition="0">
        <references count="3">
          <reference field="0" count="1" selected="0">
            <x v="227"/>
          </reference>
          <reference field="1" count="1" selected="0">
            <x v="172"/>
          </reference>
          <reference field="2" count="1">
            <x v="42"/>
          </reference>
        </references>
      </pivotArea>
    </format>
    <format dxfId="2063">
      <pivotArea dataOnly="0" labelOnly="1" fieldPosition="0">
        <references count="3">
          <reference field="0" count="1" selected="0">
            <x v="228"/>
          </reference>
          <reference field="1" count="1" selected="0">
            <x v="173"/>
          </reference>
          <reference field="2" count="1">
            <x v="145"/>
          </reference>
        </references>
      </pivotArea>
    </format>
    <format dxfId="2062">
      <pivotArea dataOnly="0" labelOnly="1" fieldPosition="0">
        <references count="3">
          <reference field="0" count="1" selected="0">
            <x v="229"/>
          </reference>
          <reference field="1" count="1" selected="0">
            <x v="174"/>
          </reference>
          <reference field="2" count="1">
            <x v="91"/>
          </reference>
        </references>
      </pivotArea>
    </format>
    <format dxfId="2061">
      <pivotArea dataOnly="0" labelOnly="1" fieldPosition="0">
        <references count="3">
          <reference field="0" count="1" selected="0">
            <x v="230"/>
          </reference>
          <reference field="1" count="1" selected="0">
            <x v="175"/>
          </reference>
          <reference field="2" count="1">
            <x v="160"/>
          </reference>
        </references>
      </pivotArea>
    </format>
    <format dxfId="2060">
      <pivotArea dataOnly="0" labelOnly="1" fieldPosition="0">
        <references count="3">
          <reference field="0" count="1" selected="0">
            <x v="231"/>
          </reference>
          <reference field="1" count="1" selected="0">
            <x v="176"/>
          </reference>
          <reference field="2" count="1">
            <x v="42"/>
          </reference>
        </references>
      </pivotArea>
    </format>
    <format dxfId="2059">
      <pivotArea dataOnly="0" labelOnly="1" fieldPosition="0">
        <references count="3">
          <reference field="0" count="1" selected="0">
            <x v="232"/>
          </reference>
          <reference field="1" count="1" selected="0">
            <x v="177"/>
          </reference>
          <reference field="2" count="1">
            <x v="47"/>
          </reference>
        </references>
      </pivotArea>
    </format>
    <format dxfId="2058">
      <pivotArea dataOnly="0" labelOnly="1" fieldPosition="0">
        <references count="3">
          <reference field="0" count="1" selected="0">
            <x v="233"/>
          </reference>
          <reference field="1" count="1" selected="0">
            <x v="178"/>
          </reference>
          <reference field="2" count="1">
            <x v="32"/>
          </reference>
        </references>
      </pivotArea>
    </format>
    <format dxfId="2057">
      <pivotArea dataOnly="0" labelOnly="1" fieldPosition="0">
        <references count="3">
          <reference field="0" count="1" selected="0">
            <x v="234"/>
          </reference>
          <reference field="1" count="1" selected="0">
            <x v="179"/>
          </reference>
          <reference field="2" count="1">
            <x v="163"/>
          </reference>
        </references>
      </pivotArea>
    </format>
    <format dxfId="2056">
      <pivotArea dataOnly="0" labelOnly="1" fieldPosition="0">
        <references count="3">
          <reference field="0" count="1" selected="0">
            <x v="235"/>
          </reference>
          <reference field="1" count="1" selected="0">
            <x v="191"/>
          </reference>
          <reference field="2" count="1">
            <x v="155"/>
          </reference>
        </references>
      </pivotArea>
    </format>
    <format dxfId="2055">
      <pivotArea dataOnly="0" labelOnly="1" fieldPosition="0">
        <references count="3">
          <reference field="0" count="1" selected="0">
            <x v="236"/>
          </reference>
          <reference field="1" count="1" selected="0">
            <x v="192"/>
          </reference>
          <reference field="2" count="1">
            <x v="27"/>
          </reference>
        </references>
      </pivotArea>
    </format>
    <format dxfId="2054">
      <pivotArea dataOnly="0" labelOnly="1" fieldPosition="0">
        <references count="3">
          <reference field="0" count="1" selected="0">
            <x v="237"/>
          </reference>
          <reference field="1" count="1" selected="0">
            <x v="193"/>
          </reference>
          <reference field="2" count="1">
            <x v="89"/>
          </reference>
        </references>
      </pivotArea>
    </format>
    <format dxfId="2053">
      <pivotArea dataOnly="0" labelOnly="1" fieldPosition="0">
        <references count="3">
          <reference field="0" count="1" selected="0">
            <x v="238"/>
          </reference>
          <reference field="1" count="1" selected="0">
            <x v="194"/>
          </reference>
          <reference field="2" count="1">
            <x v="25"/>
          </reference>
        </references>
      </pivotArea>
    </format>
    <format dxfId="2052">
      <pivotArea dataOnly="0" labelOnly="1" fieldPosition="0">
        <references count="3">
          <reference field="0" count="1" selected="0">
            <x v="239"/>
          </reference>
          <reference field="1" count="1" selected="0">
            <x v="195"/>
          </reference>
          <reference field="2" count="1">
            <x v="28"/>
          </reference>
        </references>
      </pivotArea>
    </format>
    <format dxfId="2051">
      <pivotArea dataOnly="0" labelOnly="1" fieldPosition="0">
        <references count="3">
          <reference field="0" count="1" selected="0">
            <x v="240"/>
          </reference>
          <reference field="1" count="1" selected="0">
            <x v="196"/>
          </reference>
          <reference field="2" count="1">
            <x v="40"/>
          </reference>
        </references>
      </pivotArea>
    </format>
    <format dxfId="2050">
      <pivotArea dataOnly="0" labelOnly="1" fieldPosition="0">
        <references count="3">
          <reference field="0" count="1" selected="0">
            <x v="241"/>
          </reference>
          <reference field="1" count="1" selected="0">
            <x v="197"/>
          </reference>
          <reference field="2" count="1">
            <x v="195"/>
          </reference>
        </references>
      </pivotArea>
    </format>
    <format dxfId="2049">
      <pivotArea dataOnly="0" labelOnly="1" fieldPosition="0">
        <references count="3">
          <reference field="0" count="1" selected="0">
            <x v="242"/>
          </reference>
          <reference field="1" count="1" selected="0">
            <x v="198"/>
          </reference>
          <reference field="2" count="1">
            <x v="132"/>
          </reference>
        </references>
      </pivotArea>
    </format>
    <format dxfId="204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3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2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1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0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199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8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7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6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5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4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3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2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1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0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89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8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7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6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5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4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3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2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1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79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8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7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6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5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4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3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2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1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69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8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7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4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3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59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8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7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5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4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3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2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1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49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8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7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6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5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4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3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2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1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0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39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8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7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1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0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29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8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7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6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5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4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3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2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1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19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7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6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4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3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2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0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09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5">
      <pivotArea type="all" dataOnly="0" outline="0" fieldPosition="0"/>
    </format>
    <format dxfId="1084">
      <pivotArea field="0" type="button" dataOnly="0" labelOnly="1" outline="0" axis="axisRow" fieldPosition="0"/>
    </format>
    <format dxfId="1083">
      <pivotArea field="1" type="button" dataOnly="0" labelOnly="1" outline="0" axis="axisRow" fieldPosition="1"/>
    </format>
    <format dxfId="1082">
      <pivotArea field="2" type="button" dataOnly="0" labelOnly="1" outline="0" axis="axisRow" fieldPosition="2"/>
    </format>
    <format dxfId="1081">
      <pivotArea field="3" type="button" dataOnly="0" labelOnly="1" outline="0" axis="axisRow" fieldPosition="3"/>
    </format>
    <format dxfId="1080">
      <pivotArea field="12" type="button" dataOnly="0" labelOnly="1" outline="0" axis="axisRow" fieldPosition="4"/>
    </format>
    <format dxfId="1079">
      <pivotArea field="13" type="button" dataOnly="0" labelOnly="1" outline="0" axis="axisRow" fieldPosition="5"/>
    </format>
    <format dxfId="1078">
      <pivotArea field="14" type="button" dataOnly="0" labelOnly="1" outline="0" axis="axisRow" fieldPosition="6"/>
    </format>
    <format dxfId="1077">
      <pivotArea field="15" type="button" dataOnly="0" labelOnly="1" outline="0" axis="axisRow" fieldPosition="7"/>
    </format>
    <format dxfId="1076">
      <pivotArea field="16" type="button" dataOnly="0" labelOnly="1" outline="0" axis="axisRow" fieldPosition="8"/>
    </format>
    <format dxfId="1075">
      <pivotArea field="17" type="button" dataOnly="0" labelOnly="1" outline="0" axis="axisRow" fieldPosition="9"/>
    </format>
    <format dxfId="107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1">
      <pivotArea dataOnly="0" labelOnly="1" fieldPosition="0">
        <references count="1">
          <reference field="0" count="18">
            <x v="225"/>
            <x v="226"/>
            <x v="227"/>
            <x v="228"/>
            <x v="229"/>
            <x v="230"/>
            <x v="231"/>
            <x v="232"/>
            <x v="233"/>
            <x v="234"/>
            <x v="235"/>
            <x v="236"/>
            <x v="237"/>
            <x v="238"/>
            <x v="239"/>
            <x v="240"/>
            <x v="241"/>
            <x v="242"/>
          </reference>
        </references>
      </pivotArea>
    </format>
    <format dxfId="1070">
      <pivotArea dataOnly="0" labelOnly="1" fieldPosition="0">
        <references count="2">
          <reference field="0" count="1" selected="0">
            <x v="0"/>
          </reference>
          <reference field="1" count="1">
            <x v="228"/>
          </reference>
        </references>
      </pivotArea>
    </format>
    <format dxfId="1069">
      <pivotArea dataOnly="0" labelOnly="1" fieldPosition="0">
        <references count="2">
          <reference field="0" count="1" selected="0">
            <x v="2"/>
          </reference>
          <reference field="1" count="1">
            <x v="230"/>
          </reference>
        </references>
      </pivotArea>
    </format>
    <format dxfId="1068">
      <pivotArea dataOnly="0" labelOnly="1" fieldPosition="0">
        <references count="2">
          <reference field="0" count="1" selected="0">
            <x v="3"/>
          </reference>
          <reference field="1" count="1">
            <x v="231"/>
          </reference>
        </references>
      </pivotArea>
    </format>
    <format dxfId="1067">
      <pivotArea dataOnly="0" labelOnly="1" fieldPosition="0">
        <references count="2">
          <reference field="0" count="1" selected="0">
            <x v="4"/>
          </reference>
          <reference field="1" count="1">
            <x v="232"/>
          </reference>
        </references>
      </pivotArea>
    </format>
    <format dxfId="1066">
      <pivotArea dataOnly="0" labelOnly="1" fieldPosition="0">
        <references count="2">
          <reference field="0" count="1" selected="0">
            <x v="5"/>
          </reference>
          <reference field="1" count="1">
            <x v="233"/>
          </reference>
        </references>
      </pivotArea>
    </format>
    <format dxfId="1065">
      <pivotArea dataOnly="0" labelOnly="1" fieldPosition="0">
        <references count="2">
          <reference field="0" count="1" selected="0">
            <x v="7"/>
          </reference>
          <reference field="1" count="1">
            <x v="118"/>
          </reference>
        </references>
      </pivotArea>
    </format>
    <format dxfId="1064">
      <pivotArea dataOnly="0" labelOnly="1" fieldPosition="0">
        <references count="2">
          <reference field="0" count="1" selected="0">
            <x v="9"/>
          </reference>
          <reference field="1" count="1">
            <x v="120"/>
          </reference>
        </references>
      </pivotArea>
    </format>
    <format dxfId="1063">
      <pivotArea dataOnly="0" labelOnly="1" fieldPosition="0">
        <references count="2">
          <reference field="0" count="1" selected="0">
            <x v="10"/>
          </reference>
          <reference field="1" count="1">
            <x v="121"/>
          </reference>
        </references>
      </pivotArea>
    </format>
    <format dxfId="1062">
      <pivotArea dataOnly="0" labelOnly="1" fieldPosition="0">
        <references count="2">
          <reference field="0" count="1" selected="0">
            <x v="11"/>
          </reference>
          <reference field="1" count="1">
            <x v="122"/>
          </reference>
        </references>
      </pivotArea>
    </format>
    <format dxfId="1061">
      <pivotArea dataOnly="0" labelOnly="1" fieldPosition="0">
        <references count="2">
          <reference field="0" count="1" selected="0">
            <x v="12"/>
          </reference>
          <reference field="1" count="1">
            <x v="123"/>
          </reference>
        </references>
      </pivotArea>
    </format>
    <format dxfId="1060">
      <pivotArea dataOnly="0" labelOnly="1" fieldPosition="0">
        <references count="2">
          <reference field="0" count="1" selected="0">
            <x v="16"/>
          </reference>
          <reference field="1" count="1">
            <x v="64"/>
          </reference>
        </references>
      </pivotArea>
    </format>
    <format dxfId="1059">
      <pivotArea dataOnly="0" labelOnly="1" fieldPosition="0">
        <references count="2">
          <reference field="0" count="1" selected="0">
            <x v="18"/>
          </reference>
          <reference field="1" count="1">
            <x v="66"/>
          </reference>
        </references>
      </pivotArea>
    </format>
    <format dxfId="1058">
      <pivotArea dataOnly="0" labelOnly="1" fieldPosition="0">
        <references count="2">
          <reference field="0" count="1" selected="0">
            <x v="22"/>
          </reference>
          <reference field="1" count="1">
            <x v="19"/>
          </reference>
        </references>
      </pivotArea>
    </format>
    <format dxfId="1057">
      <pivotArea dataOnly="0" labelOnly="1" fieldPosition="0">
        <references count="2">
          <reference field="0" count="1" selected="0">
            <x v="25"/>
          </reference>
          <reference field="1" count="1">
            <x v="22"/>
          </reference>
        </references>
      </pivotArea>
    </format>
    <format dxfId="1056">
      <pivotArea dataOnly="0" labelOnly="1" fieldPosition="0">
        <references count="2">
          <reference field="0" count="1" selected="0">
            <x v="26"/>
          </reference>
          <reference field="1" count="1">
            <x v="23"/>
          </reference>
        </references>
      </pivotArea>
    </format>
    <format dxfId="1055">
      <pivotArea dataOnly="0" labelOnly="1" fieldPosition="0">
        <references count="2">
          <reference field="0" count="1" selected="0">
            <x v="28"/>
          </reference>
          <reference field="1" count="1">
            <x v="25"/>
          </reference>
        </references>
      </pivotArea>
    </format>
    <format dxfId="1054">
      <pivotArea dataOnly="0" labelOnly="1" fieldPosition="0">
        <references count="2">
          <reference field="0" count="1" selected="0">
            <x v="29"/>
          </reference>
          <reference field="1" count="1">
            <x v="26"/>
          </reference>
        </references>
      </pivotArea>
    </format>
    <format dxfId="1053">
      <pivotArea dataOnly="0" labelOnly="1" fieldPosition="0">
        <references count="2">
          <reference field="0" count="1" selected="0">
            <x v="30"/>
          </reference>
          <reference field="1" count="1">
            <x v="27"/>
          </reference>
        </references>
      </pivotArea>
    </format>
    <format dxfId="1052">
      <pivotArea dataOnly="0" labelOnly="1" fieldPosition="0">
        <references count="2">
          <reference field="0" count="1" selected="0">
            <x v="31"/>
          </reference>
          <reference field="1" count="1">
            <x v="28"/>
          </reference>
        </references>
      </pivotArea>
    </format>
    <format dxfId="1051">
      <pivotArea dataOnly="0" labelOnly="1" fieldPosition="0">
        <references count="2">
          <reference field="0" count="1" selected="0">
            <x v="35"/>
          </reference>
          <reference field="1" count="1">
            <x v="32"/>
          </reference>
        </references>
      </pivotArea>
    </format>
    <format dxfId="1050">
      <pivotArea dataOnly="0" labelOnly="1" fieldPosition="0">
        <references count="2">
          <reference field="0" count="1" selected="0">
            <x v="36"/>
          </reference>
          <reference field="1" count="1">
            <x v="33"/>
          </reference>
        </references>
      </pivotArea>
    </format>
    <format dxfId="1049">
      <pivotArea dataOnly="0" labelOnly="1" fieldPosition="0">
        <references count="2">
          <reference field="0" count="1" selected="0">
            <x v="37"/>
          </reference>
          <reference field="1" count="1">
            <x v="34"/>
          </reference>
        </references>
      </pivotArea>
    </format>
    <format dxfId="1048">
      <pivotArea dataOnly="0" labelOnly="1" fieldPosition="0">
        <references count="2">
          <reference field="0" count="1" selected="0">
            <x v="38"/>
          </reference>
          <reference field="1" count="1">
            <x v="0"/>
          </reference>
        </references>
      </pivotArea>
    </format>
    <format dxfId="1047">
      <pivotArea dataOnly="0" labelOnly="1" fieldPosition="0">
        <references count="2">
          <reference field="0" count="1" selected="0">
            <x v="39"/>
          </reference>
          <reference field="1" count="1">
            <x v="1"/>
          </reference>
        </references>
      </pivotArea>
    </format>
    <format dxfId="1046">
      <pivotArea dataOnly="0" labelOnly="1" fieldPosition="0">
        <references count="2">
          <reference field="0" count="1" selected="0">
            <x v="40"/>
          </reference>
          <reference field="1" count="1">
            <x v="2"/>
          </reference>
        </references>
      </pivotArea>
    </format>
    <format dxfId="1045">
      <pivotArea dataOnly="0" labelOnly="1" fieldPosition="0">
        <references count="2">
          <reference field="0" count="1" selected="0">
            <x v="41"/>
          </reference>
          <reference field="1" count="1">
            <x v="3"/>
          </reference>
        </references>
      </pivotArea>
    </format>
    <format dxfId="1044">
      <pivotArea dataOnly="0" labelOnly="1" fieldPosition="0">
        <references count="2">
          <reference field="0" count="1" selected="0">
            <x v="42"/>
          </reference>
          <reference field="1" count="1">
            <x v="4"/>
          </reference>
        </references>
      </pivotArea>
    </format>
    <format dxfId="1043">
      <pivotArea dataOnly="0" labelOnly="1" fieldPosition="0">
        <references count="2">
          <reference field="0" count="1" selected="0">
            <x v="43"/>
          </reference>
          <reference field="1" count="1">
            <x v="5"/>
          </reference>
        </references>
      </pivotArea>
    </format>
    <format dxfId="1042">
      <pivotArea dataOnly="0" labelOnly="1" fieldPosition="0">
        <references count="2">
          <reference field="0" count="1" selected="0">
            <x v="44"/>
          </reference>
          <reference field="1" count="1">
            <x v="6"/>
          </reference>
        </references>
      </pivotArea>
    </format>
    <format dxfId="1041">
      <pivotArea dataOnly="0" labelOnly="1" fieldPosition="0">
        <references count="2">
          <reference field="0" count="1" selected="0">
            <x v="45"/>
          </reference>
          <reference field="1" count="1">
            <x v="7"/>
          </reference>
        </references>
      </pivotArea>
    </format>
    <format dxfId="1040">
      <pivotArea dataOnly="0" labelOnly="1" fieldPosition="0">
        <references count="2">
          <reference field="0" count="1" selected="0">
            <x v="46"/>
          </reference>
          <reference field="1" count="1">
            <x v="8"/>
          </reference>
        </references>
      </pivotArea>
    </format>
    <format dxfId="1039">
      <pivotArea dataOnly="0" labelOnly="1" fieldPosition="0">
        <references count="2">
          <reference field="0" count="1" selected="0">
            <x v="47"/>
          </reference>
          <reference field="1" count="1">
            <x v="9"/>
          </reference>
        </references>
      </pivotArea>
    </format>
    <format dxfId="1038">
      <pivotArea dataOnly="0" labelOnly="1" fieldPosition="0">
        <references count="2">
          <reference field="0" count="1" selected="0">
            <x v="49"/>
          </reference>
          <reference field="1" count="1">
            <x v="11"/>
          </reference>
        </references>
      </pivotArea>
    </format>
    <format dxfId="1037">
      <pivotArea dataOnly="0" labelOnly="1" fieldPosition="0">
        <references count="2">
          <reference field="0" count="1" selected="0">
            <x v="55"/>
          </reference>
          <reference field="1" count="1">
            <x v="35"/>
          </reference>
        </references>
      </pivotArea>
    </format>
    <format dxfId="1036">
      <pivotArea dataOnly="0" labelOnly="1" fieldPosition="0">
        <references count="2">
          <reference field="0" count="1" selected="0">
            <x v="56"/>
          </reference>
          <reference field="1" count="1">
            <x v="36"/>
          </reference>
        </references>
      </pivotArea>
    </format>
    <format dxfId="1035">
      <pivotArea dataOnly="0" labelOnly="1" fieldPosition="0">
        <references count="2">
          <reference field="0" count="1" selected="0">
            <x v="62"/>
          </reference>
          <reference field="1" count="1">
            <x v="42"/>
          </reference>
        </references>
      </pivotArea>
    </format>
    <format dxfId="1034">
      <pivotArea dataOnly="0" labelOnly="1" fieldPosition="0">
        <references count="2">
          <reference field="0" count="1" selected="0">
            <x v="63"/>
          </reference>
          <reference field="1" count="1">
            <x v="43"/>
          </reference>
        </references>
      </pivotArea>
    </format>
    <format dxfId="1033">
      <pivotArea dataOnly="0" labelOnly="1" fieldPosition="0">
        <references count="2">
          <reference field="0" count="1" selected="0">
            <x v="64"/>
          </reference>
          <reference field="1" count="1">
            <x v="44"/>
          </reference>
        </references>
      </pivotArea>
    </format>
    <format dxfId="1032">
      <pivotArea dataOnly="0" labelOnly="1" fieldPosition="0">
        <references count="2">
          <reference field="0" count="1" selected="0">
            <x v="65"/>
          </reference>
          <reference field="1" count="1">
            <x v="45"/>
          </reference>
        </references>
      </pivotArea>
    </format>
    <format dxfId="1031">
      <pivotArea dataOnly="0" labelOnly="1" fieldPosition="0">
        <references count="2">
          <reference field="0" count="1" selected="0">
            <x v="66"/>
          </reference>
          <reference field="1" count="1">
            <x v="46"/>
          </reference>
        </references>
      </pivotArea>
    </format>
    <format dxfId="1030">
      <pivotArea dataOnly="0" labelOnly="1" fieldPosition="0">
        <references count="2">
          <reference field="0" count="1" selected="0">
            <x v="67"/>
          </reference>
          <reference field="1" count="1">
            <x v="47"/>
          </reference>
        </references>
      </pivotArea>
    </format>
    <format dxfId="1029">
      <pivotArea dataOnly="0" labelOnly="1" fieldPosition="0">
        <references count="2">
          <reference field="0" count="1" selected="0">
            <x v="68"/>
          </reference>
          <reference field="1" count="1">
            <x v="48"/>
          </reference>
        </references>
      </pivotArea>
    </format>
    <format dxfId="1028">
      <pivotArea dataOnly="0" labelOnly="1" fieldPosition="0">
        <references count="2">
          <reference field="0" count="1" selected="0">
            <x v="79"/>
          </reference>
          <reference field="1" count="1">
            <x v="59"/>
          </reference>
        </references>
      </pivotArea>
    </format>
    <format dxfId="1027">
      <pivotArea dataOnly="0" labelOnly="1" fieldPosition="0">
        <references count="2">
          <reference field="0" count="1" selected="0">
            <x v="81"/>
          </reference>
          <reference field="1" count="1">
            <x v="68"/>
          </reference>
        </references>
      </pivotArea>
    </format>
    <format dxfId="1026">
      <pivotArea dataOnly="0" labelOnly="1" fieldPosition="0">
        <references count="2">
          <reference field="0" count="1" selected="0">
            <x v="82"/>
          </reference>
          <reference field="1" count="1">
            <x v="69"/>
          </reference>
        </references>
      </pivotArea>
    </format>
    <format dxfId="1025">
      <pivotArea dataOnly="0" labelOnly="1" fieldPosition="0">
        <references count="2">
          <reference field="0" count="1" selected="0">
            <x v="83"/>
          </reference>
          <reference field="1" count="1">
            <x v="70"/>
          </reference>
        </references>
      </pivotArea>
    </format>
    <format dxfId="1024">
      <pivotArea dataOnly="0" labelOnly="1" fieldPosition="0">
        <references count="2">
          <reference field="0" count="1" selected="0">
            <x v="84"/>
          </reference>
          <reference field="1" count="1">
            <x v="71"/>
          </reference>
        </references>
      </pivotArea>
    </format>
    <format dxfId="1023">
      <pivotArea dataOnly="0" labelOnly="1" fieldPosition="0">
        <references count="2">
          <reference field="0" count="1" selected="0">
            <x v="85"/>
          </reference>
          <reference field="1" count="1">
            <x v="72"/>
          </reference>
        </references>
      </pivotArea>
    </format>
    <format dxfId="1022">
      <pivotArea dataOnly="0" labelOnly="1" fieldPosition="0">
        <references count="2">
          <reference field="0" count="1" selected="0">
            <x v="86"/>
          </reference>
          <reference field="1" count="1">
            <x v="73"/>
          </reference>
        </references>
      </pivotArea>
    </format>
    <format dxfId="1021">
      <pivotArea dataOnly="0" labelOnly="1" fieldPosition="0">
        <references count="2">
          <reference field="0" count="1" selected="0">
            <x v="87"/>
          </reference>
          <reference field="1" count="1">
            <x v="74"/>
          </reference>
        </references>
      </pivotArea>
    </format>
    <format dxfId="1020">
      <pivotArea dataOnly="0" labelOnly="1" fieldPosition="0">
        <references count="2">
          <reference field="0" count="1" selected="0">
            <x v="88"/>
          </reference>
          <reference field="1" count="1">
            <x v="75"/>
          </reference>
        </references>
      </pivotArea>
    </format>
    <format dxfId="1019">
      <pivotArea dataOnly="0" labelOnly="1" fieldPosition="0">
        <references count="2">
          <reference field="0" count="1" selected="0">
            <x v="89"/>
          </reference>
          <reference field="1" count="1">
            <x v="76"/>
          </reference>
        </references>
      </pivotArea>
    </format>
    <format dxfId="1018">
      <pivotArea dataOnly="0" labelOnly="1" fieldPosition="0">
        <references count="2">
          <reference field="0" count="1" selected="0">
            <x v="90"/>
          </reference>
          <reference field="1" count="1">
            <x v="77"/>
          </reference>
        </references>
      </pivotArea>
    </format>
    <format dxfId="1017">
      <pivotArea dataOnly="0" labelOnly="1" fieldPosition="0">
        <references count="2">
          <reference field="0" count="1" selected="0">
            <x v="91"/>
          </reference>
          <reference field="1" count="1">
            <x v="78"/>
          </reference>
        </references>
      </pivotArea>
    </format>
    <format dxfId="1016">
      <pivotArea dataOnly="0" labelOnly="1" fieldPosition="0">
        <references count="2">
          <reference field="0" count="1" selected="0">
            <x v="93"/>
          </reference>
          <reference field="1" count="1">
            <x v="80"/>
          </reference>
        </references>
      </pivotArea>
    </format>
    <format dxfId="1015">
      <pivotArea dataOnly="0" labelOnly="1" fieldPosition="0">
        <references count="2">
          <reference field="0" count="1" selected="0">
            <x v="94"/>
          </reference>
          <reference field="1" count="1">
            <x v="81"/>
          </reference>
        </references>
      </pivotArea>
    </format>
    <format dxfId="1014">
      <pivotArea dataOnly="0" labelOnly="1" fieldPosition="0">
        <references count="2">
          <reference field="0" count="1" selected="0">
            <x v="95"/>
          </reference>
          <reference field="1" count="1">
            <x v="82"/>
          </reference>
        </references>
      </pivotArea>
    </format>
    <format dxfId="1013">
      <pivotArea dataOnly="0" labelOnly="1" fieldPosition="0">
        <references count="2">
          <reference field="0" count="1" selected="0">
            <x v="96"/>
          </reference>
          <reference field="1" count="1">
            <x v="83"/>
          </reference>
        </references>
      </pivotArea>
    </format>
    <format dxfId="1012">
      <pivotArea dataOnly="0" labelOnly="1" fieldPosition="0">
        <references count="2">
          <reference field="0" count="1" selected="0">
            <x v="97"/>
          </reference>
          <reference field="1" count="1">
            <x v="84"/>
          </reference>
        </references>
      </pivotArea>
    </format>
    <format dxfId="1011">
      <pivotArea dataOnly="0" labelOnly="1" fieldPosition="0">
        <references count="2">
          <reference field="0" count="1" selected="0">
            <x v="98"/>
          </reference>
          <reference field="1" count="1">
            <x v="85"/>
          </reference>
        </references>
      </pivotArea>
    </format>
    <format dxfId="1010">
      <pivotArea dataOnly="0" labelOnly="1" fieldPosition="0">
        <references count="2">
          <reference field="0" count="1" selected="0">
            <x v="99"/>
          </reference>
          <reference field="1" count="1">
            <x v="86"/>
          </reference>
        </references>
      </pivotArea>
    </format>
    <format dxfId="1009">
      <pivotArea dataOnly="0" labelOnly="1" fieldPosition="0">
        <references count="2">
          <reference field="0" count="1" selected="0">
            <x v="100"/>
          </reference>
          <reference field="1" count="1">
            <x v="87"/>
          </reference>
        </references>
      </pivotArea>
    </format>
    <format dxfId="1008">
      <pivotArea dataOnly="0" labelOnly="1" fieldPosition="0">
        <references count="2">
          <reference field="0" count="1" selected="0">
            <x v="101"/>
          </reference>
          <reference field="1" count="1">
            <x v="88"/>
          </reference>
        </references>
      </pivotArea>
    </format>
    <format dxfId="1007">
      <pivotArea dataOnly="0" labelOnly="1" fieldPosition="0">
        <references count="2">
          <reference field="0" count="1" selected="0">
            <x v="102"/>
          </reference>
          <reference field="1" count="1">
            <x v="89"/>
          </reference>
        </references>
      </pivotArea>
    </format>
    <format dxfId="1006">
      <pivotArea dataOnly="0" labelOnly="1" fieldPosition="0">
        <references count="2">
          <reference field="0" count="1" selected="0">
            <x v="103"/>
          </reference>
          <reference field="1" count="1">
            <x v="90"/>
          </reference>
        </references>
      </pivotArea>
    </format>
    <format dxfId="1005">
      <pivotArea dataOnly="0" labelOnly="1" fieldPosition="0">
        <references count="2">
          <reference field="0" count="1" selected="0">
            <x v="104"/>
          </reference>
          <reference field="1" count="1">
            <x v="91"/>
          </reference>
        </references>
      </pivotArea>
    </format>
    <format dxfId="1004">
      <pivotArea dataOnly="0" labelOnly="1" fieldPosition="0">
        <references count="2">
          <reference field="0" count="1" selected="0">
            <x v="105"/>
          </reference>
          <reference field="1" count="1">
            <x v="92"/>
          </reference>
        </references>
      </pivotArea>
    </format>
    <format dxfId="1003">
      <pivotArea dataOnly="0" labelOnly="1" fieldPosition="0">
        <references count="2">
          <reference field="0" count="1" selected="0">
            <x v="106"/>
          </reference>
          <reference field="1" count="1">
            <x v="93"/>
          </reference>
        </references>
      </pivotArea>
    </format>
    <format dxfId="1002">
      <pivotArea dataOnly="0" labelOnly="1" fieldPosition="0">
        <references count="2">
          <reference field="0" count="1" selected="0">
            <x v="107"/>
          </reference>
          <reference field="1" count="1">
            <x v="94"/>
          </reference>
        </references>
      </pivotArea>
    </format>
    <format dxfId="1001">
      <pivotArea dataOnly="0" labelOnly="1" fieldPosition="0">
        <references count="2">
          <reference field="0" count="1" selected="0">
            <x v="108"/>
          </reference>
          <reference field="1" count="1">
            <x v="95"/>
          </reference>
        </references>
      </pivotArea>
    </format>
    <format dxfId="1000">
      <pivotArea dataOnly="0" labelOnly="1" fieldPosition="0">
        <references count="2">
          <reference field="0" count="1" selected="0">
            <x v="110"/>
          </reference>
          <reference field="1" count="1">
            <x v="97"/>
          </reference>
        </references>
      </pivotArea>
    </format>
    <format dxfId="999">
      <pivotArea dataOnly="0" labelOnly="1" fieldPosition="0">
        <references count="2">
          <reference field="0" count="1" selected="0">
            <x v="111"/>
          </reference>
          <reference field="1" count="1">
            <x v="98"/>
          </reference>
        </references>
      </pivotArea>
    </format>
    <format dxfId="998">
      <pivotArea dataOnly="0" labelOnly="1" fieldPosition="0">
        <references count="2">
          <reference field="0" count="1" selected="0">
            <x v="113"/>
          </reference>
          <reference field="1" count="1">
            <x v="100"/>
          </reference>
        </references>
      </pivotArea>
    </format>
    <format dxfId="997">
      <pivotArea dataOnly="0" labelOnly="1" fieldPosition="0">
        <references count="2">
          <reference field="0" count="1" selected="0">
            <x v="119"/>
          </reference>
          <reference field="1" count="1">
            <x v="106"/>
          </reference>
        </references>
      </pivotArea>
    </format>
    <format dxfId="996">
      <pivotArea dataOnly="0" labelOnly="1" fieldPosition="0">
        <references count="2">
          <reference field="0" count="1" selected="0">
            <x v="120"/>
          </reference>
          <reference field="1" count="1">
            <x v="107"/>
          </reference>
        </references>
      </pivotArea>
    </format>
    <format dxfId="995">
      <pivotArea dataOnly="0" labelOnly="1" fieldPosition="0">
        <references count="2">
          <reference field="0" count="1" selected="0">
            <x v="121"/>
          </reference>
          <reference field="1" count="1">
            <x v="108"/>
          </reference>
        </references>
      </pivotArea>
    </format>
    <format dxfId="994">
      <pivotArea dataOnly="0" labelOnly="1" fieldPosition="0">
        <references count="2">
          <reference field="0" count="1" selected="0">
            <x v="122"/>
          </reference>
          <reference field="1" count="1">
            <x v="109"/>
          </reference>
        </references>
      </pivotArea>
    </format>
    <format dxfId="993">
      <pivotArea dataOnly="0" labelOnly="1" fieldPosition="0">
        <references count="2">
          <reference field="0" count="1" selected="0">
            <x v="123"/>
          </reference>
          <reference field="1" count="1">
            <x v="110"/>
          </reference>
        </references>
      </pivotArea>
    </format>
    <format dxfId="992">
      <pivotArea dataOnly="0" labelOnly="1" fieldPosition="0">
        <references count="2">
          <reference field="0" count="1" selected="0">
            <x v="124"/>
          </reference>
          <reference field="1" count="1">
            <x v="111"/>
          </reference>
        </references>
      </pivotArea>
    </format>
    <format dxfId="991">
      <pivotArea dataOnly="0" labelOnly="1" fieldPosition="0">
        <references count="2">
          <reference field="0" count="1" selected="0">
            <x v="125"/>
          </reference>
          <reference field="1" count="1">
            <x v="112"/>
          </reference>
        </references>
      </pivotArea>
    </format>
    <format dxfId="990">
      <pivotArea dataOnly="0" labelOnly="1" fieldPosition="0">
        <references count="2">
          <reference field="0" count="1" selected="0">
            <x v="126"/>
          </reference>
          <reference field="1" count="1">
            <x v="113"/>
          </reference>
        </references>
      </pivotArea>
    </format>
    <format dxfId="989">
      <pivotArea dataOnly="0" labelOnly="1" fieldPosition="0">
        <references count="2">
          <reference field="0" count="1" selected="0">
            <x v="127"/>
          </reference>
          <reference field="1" count="1">
            <x v="114"/>
          </reference>
        </references>
      </pivotArea>
    </format>
    <format dxfId="988">
      <pivotArea dataOnly="0" labelOnly="1" fieldPosition="0">
        <references count="2">
          <reference field="0" count="1" selected="0">
            <x v="128"/>
          </reference>
          <reference field="1" count="1">
            <x v="115"/>
          </reference>
        </references>
      </pivotArea>
    </format>
    <format dxfId="987">
      <pivotArea dataOnly="0" labelOnly="1" fieldPosition="0">
        <references count="2">
          <reference field="0" count="1" selected="0">
            <x v="129"/>
          </reference>
          <reference field="1" count="1">
            <x v="116"/>
          </reference>
        </references>
      </pivotArea>
    </format>
    <format dxfId="986">
      <pivotArea dataOnly="0" labelOnly="1" fieldPosition="0">
        <references count="2">
          <reference field="0" count="1" selected="0">
            <x v="130"/>
          </reference>
          <reference field="1" count="1">
            <x v="117"/>
          </reference>
        </references>
      </pivotArea>
    </format>
    <format dxfId="985">
      <pivotArea dataOnly="0" labelOnly="1" fieldPosition="0">
        <references count="2">
          <reference field="0" count="1" selected="0">
            <x v="134"/>
          </reference>
          <reference field="1" count="1">
            <x v="127"/>
          </reference>
        </references>
      </pivotArea>
    </format>
    <format dxfId="984">
      <pivotArea dataOnly="0" labelOnly="1" fieldPosition="0">
        <references count="2">
          <reference field="0" count="1" selected="0">
            <x v="135"/>
          </reference>
          <reference field="1" count="1">
            <x v="128"/>
          </reference>
        </references>
      </pivotArea>
    </format>
    <format dxfId="983">
      <pivotArea dataOnly="0" labelOnly="1" fieldPosition="0">
        <references count="2">
          <reference field="0" count="1" selected="0">
            <x v="136"/>
          </reference>
          <reference field="1" count="1">
            <x v="129"/>
          </reference>
        </references>
      </pivotArea>
    </format>
    <format dxfId="982">
      <pivotArea dataOnly="0" labelOnly="1" fieldPosition="0">
        <references count="2">
          <reference field="0" count="1" selected="0">
            <x v="144"/>
          </reference>
          <reference field="1" count="1">
            <x v="137"/>
          </reference>
        </references>
      </pivotArea>
    </format>
    <format dxfId="981">
      <pivotArea dataOnly="0" labelOnly="1" fieldPosition="0">
        <references count="2">
          <reference field="0" count="1" selected="0">
            <x v="146"/>
          </reference>
          <reference field="1" count="1">
            <x v="139"/>
          </reference>
        </references>
      </pivotArea>
    </format>
    <format dxfId="980">
      <pivotArea dataOnly="0" labelOnly="1" fieldPosition="0">
        <references count="2">
          <reference field="0" count="1" selected="0">
            <x v="147"/>
          </reference>
          <reference field="1" count="1">
            <x v="140"/>
          </reference>
        </references>
      </pivotArea>
    </format>
    <format dxfId="979">
      <pivotArea dataOnly="0" labelOnly="1" fieldPosition="0">
        <references count="2">
          <reference field="0" count="1" selected="0">
            <x v="148"/>
          </reference>
          <reference field="1" count="1">
            <x v="141"/>
          </reference>
        </references>
      </pivotArea>
    </format>
    <format dxfId="978">
      <pivotArea dataOnly="0" labelOnly="1" fieldPosition="0">
        <references count="2">
          <reference field="0" count="1" selected="0">
            <x v="149"/>
          </reference>
          <reference field="1" count="1">
            <x v="142"/>
          </reference>
        </references>
      </pivotArea>
    </format>
    <format dxfId="977">
      <pivotArea dataOnly="0" labelOnly="1" fieldPosition="0">
        <references count="2">
          <reference field="0" count="1" selected="0">
            <x v="150"/>
          </reference>
          <reference field="1" count="1">
            <x v="143"/>
          </reference>
        </references>
      </pivotArea>
    </format>
    <format dxfId="976">
      <pivotArea dataOnly="0" labelOnly="1" fieldPosition="0">
        <references count="2">
          <reference field="0" count="1" selected="0">
            <x v="151"/>
          </reference>
          <reference field="1" count="1">
            <x v="144"/>
          </reference>
        </references>
      </pivotArea>
    </format>
    <format dxfId="975">
      <pivotArea dataOnly="0" labelOnly="1" fieldPosition="0">
        <references count="2">
          <reference field="0" count="1" selected="0">
            <x v="152"/>
          </reference>
          <reference field="1" count="1">
            <x v="145"/>
          </reference>
        </references>
      </pivotArea>
    </format>
    <format dxfId="974">
      <pivotArea dataOnly="0" labelOnly="1" fieldPosition="0">
        <references count="2">
          <reference field="0" count="1" selected="0">
            <x v="153"/>
          </reference>
          <reference field="1" count="1">
            <x v="146"/>
          </reference>
        </references>
      </pivotArea>
    </format>
    <format dxfId="973">
      <pivotArea dataOnly="0" labelOnly="1" fieldPosition="0">
        <references count="2">
          <reference field="0" count="1" selected="0">
            <x v="154"/>
          </reference>
          <reference field="1" count="1">
            <x v="147"/>
          </reference>
        </references>
      </pivotArea>
    </format>
    <format dxfId="972">
      <pivotArea dataOnly="0" labelOnly="1" fieldPosition="0">
        <references count="2">
          <reference field="0" count="1" selected="0">
            <x v="155"/>
          </reference>
          <reference field="1" count="1">
            <x v="148"/>
          </reference>
        </references>
      </pivotArea>
    </format>
    <format dxfId="971">
      <pivotArea dataOnly="0" labelOnly="1" fieldPosition="0">
        <references count="2">
          <reference field="0" count="1" selected="0">
            <x v="159"/>
          </reference>
          <reference field="1" count="1">
            <x v="183"/>
          </reference>
        </references>
      </pivotArea>
    </format>
    <format dxfId="970">
      <pivotArea dataOnly="0" labelOnly="1" fieldPosition="0">
        <references count="2">
          <reference field="0" count="1" selected="0">
            <x v="160"/>
          </reference>
          <reference field="1" count="1">
            <x v="184"/>
          </reference>
        </references>
      </pivotArea>
    </format>
    <format dxfId="969">
      <pivotArea dataOnly="0" labelOnly="1" fieldPosition="0">
        <references count="2">
          <reference field="0" count="1" selected="0">
            <x v="161"/>
          </reference>
          <reference field="1" count="1">
            <x v="185"/>
          </reference>
        </references>
      </pivotArea>
    </format>
    <format dxfId="968">
      <pivotArea dataOnly="0" labelOnly="1" fieldPosition="0">
        <references count="2">
          <reference field="0" count="1" selected="0">
            <x v="162"/>
          </reference>
          <reference field="1" count="1">
            <x v="186"/>
          </reference>
        </references>
      </pivotArea>
    </format>
    <format dxfId="967">
      <pivotArea dataOnly="0" labelOnly="1" fieldPosition="0">
        <references count="2">
          <reference field="0" count="1" selected="0">
            <x v="164"/>
          </reference>
          <reference field="1" count="1">
            <x v="188"/>
          </reference>
        </references>
      </pivotArea>
    </format>
    <format dxfId="966">
      <pivotArea dataOnly="0" labelOnly="1" fieldPosition="0">
        <references count="2">
          <reference field="0" count="1" selected="0">
            <x v="165"/>
          </reference>
          <reference field="1" count="1">
            <x v="189"/>
          </reference>
        </references>
      </pivotArea>
    </format>
    <format dxfId="965">
      <pivotArea dataOnly="0" labelOnly="1" fieldPosition="0">
        <references count="2">
          <reference field="0" count="1" selected="0">
            <x v="166"/>
          </reference>
          <reference field="1" count="1">
            <x v="190"/>
          </reference>
        </references>
      </pivotArea>
    </format>
    <format dxfId="964">
      <pivotArea dataOnly="0" labelOnly="1" fieldPosition="0">
        <references count="2">
          <reference field="0" count="1" selected="0">
            <x v="167"/>
          </reference>
          <reference field="1" count="1">
            <x v="199"/>
          </reference>
        </references>
      </pivotArea>
    </format>
    <format dxfId="963">
      <pivotArea dataOnly="0" labelOnly="1" fieldPosition="0">
        <references count="2">
          <reference field="0" count="1" selected="0">
            <x v="168"/>
          </reference>
          <reference field="1" count="1">
            <x v="200"/>
          </reference>
        </references>
      </pivotArea>
    </format>
    <format dxfId="962">
      <pivotArea dataOnly="0" labelOnly="1" fieldPosition="0">
        <references count="2">
          <reference field="0" count="1" selected="0">
            <x v="171"/>
          </reference>
          <reference field="1" count="1">
            <x v="203"/>
          </reference>
        </references>
      </pivotArea>
    </format>
    <format dxfId="961">
      <pivotArea dataOnly="0" labelOnly="1" fieldPosition="0">
        <references count="2">
          <reference field="0" count="1" selected="0">
            <x v="172"/>
          </reference>
          <reference field="1" count="1">
            <x v="204"/>
          </reference>
        </references>
      </pivotArea>
    </format>
    <format dxfId="960">
      <pivotArea dataOnly="0" labelOnly="1" fieldPosition="0">
        <references count="2">
          <reference field="0" count="1" selected="0">
            <x v="173"/>
          </reference>
          <reference field="1" count="1">
            <x v="205"/>
          </reference>
        </references>
      </pivotArea>
    </format>
    <format dxfId="959">
      <pivotArea dataOnly="0" labelOnly="1" fieldPosition="0">
        <references count="2">
          <reference field="0" count="1" selected="0">
            <x v="175"/>
          </reference>
          <reference field="1" count="1">
            <x v="207"/>
          </reference>
        </references>
      </pivotArea>
    </format>
    <format dxfId="958">
      <pivotArea dataOnly="0" labelOnly="1" fieldPosition="0">
        <references count="2">
          <reference field="0" count="1" selected="0">
            <x v="176"/>
          </reference>
          <reference field="1" count="1">
            <x v="208"/>
          </reference>
        </references>
      </pivotArea>
    </format>
    <format dxfId="957">
      <pivotArea dataOnly="0" labelOnly="1" fieldPosition="0">
        <references count="2">
          <reference field="0" count="1" selected="0">
            <x v="177"/>
          </reference>
          <reference field="1" count="1">
            <x v="209"/>
          </reference>
        </references>
      </pivotArea>
    </format>
    <format dxfId="956">
      <pivotArea dataOnly="0" labelOnly="1" fieldPosition="0">
        <references count="2">
          <reference field="0" count="1" selected="0">
            <x v="178"/>
          </reference>
          <reference field="1" count="1">
            <x v="210"/>
          </reference>
        </references>
      </pivotArea>
    </format>
    <format dxfId="955">
      <pivotArea dataOnly="0" labelOnly="1" fieldPosition="0">
        <references count="2">
          <reference field="0" count="1" selected="0">
            <x v="179"/>
          </reference>
          <reference field="1" count="1">
            <x v="211"/>
          </reference>
        </references>
      </pivotArea>
    </format>
    <format dxfId="954">
      <pivotArea dataOnly="0" labelOnly="1" fieldPosition="0">
        <references count="2">
          <reference field="0" count="1" selected="0">
            <x v="180"/>
          </reference>
          <reference field="1" count="1">
            <x v="212"/>
          </reference>
        </references>
      </pivotArea>
    </format>
    <format dxfId="953">
      <pivotArea dataOnly="0" labelOnly="1" fieldPosition="0">
        <references count="2">
          <reference field="0" count="1" selected="0">
            <x v="181"/>
          </reference>
          <reference field="1" count="1">
            <x v="213"/>
          </reference>
        </references>
      </pivotArea>
    </format>
    <format dxfId="952">
      <pivotArea dataOnly="0" labelOnly="1" fieldPosition="0">
        <references count="2">
          <reference field="0" count="1" selected="0">
            <x v="182"/>
          </reference>
          <reference field="1" count="1">
            <x v="214"/>
          </reference>
        </references>
      </pivotArea>
    </format>
    <format dxfId="951">
      <pivotArea dataOnly="0" labelOnly="1" fieldPosition="0">
        <references count="2">
          <reference field="0" count="1" selected="0">
            <x v="183"/>
          </reference>
          <reference field="1" count="1">
            <x v="215"/>
          </reference>
        </references>
      </pivotArea>
    </format>
    <format dxfId="950">
      <pivotArea dataOnly="0" labelOnly="1" fieldPosition="0">
        <references count="2">
          <reference field="0" count="1" selected="0">
            <x v="184"/>
          </reference>
          <reference field="1" count="1">
            <x v="216"/>
          </reference>
        </references>
      </pivotArea>
    </format>
    <format dxfId="949">
      <pivotArea dataOnly="0" labelOnly="1" fieldPosition="0">
        <references count="2">
          <reference field="0" count="1" selected="0">
            <x v="185"/>
          </reference>
          <reference field="1" count="1">
            <x v="217"/>
          </reference>
        </references>
      </pivotArea>
    </format>
    <format dxfId="948">
      <pivotArea dataOnly="0" labelOnly="1" fieldPosition="0">
        <references count="2">
          <reference field="0" count="1" selected="0">
            <x v="186"/>
          </reference>
          <reference field="1" count="1">
            <x v="218"/>
          </reference>
        </references>
      </pivotArea>
    </format>
    <format dxfId="947">
      <pivotArea dataOnly="0" labelOnly="1" fieldPosition="0">
        <references count="2">
          <reference field="0" count="1" selected="0">
            <x v="187"/>
          </reference>
          <reference field="1" count="1">
            <x v="219"/>
          </reference>
        </references>
      </pivotArea>
    </format>
    <format dxfId="946">
      <pivotArea dataOnly="0" labelOnly="1" fieldPosition="0">
        <references count="2">
          <reference field="0" count="1" selected="0">
            <x v="188"/>
          </reference>
          <reference field="1" count="1">
            <x v="220"/>
          </reference>
        </references>
      </pivotArea>
    </format>
    <format dxfId="945">
      <pivotArea dataOnly="0" labelOnly="1" fieldPosition="0">
        <references count="2">
          <reference field="0" count="1" selected="0">
            <x v="189"/>
          </reference>
          <reference field="1" count="1">
            <x v="221"/>
          </reference>
        </references>
      </pivotArea>
    </format>
    <format dxfId="944">
      <pivotArea dataOnly="0" labelOnly="1" fieldPosition="0">
        <references count="2">
          <reference field="0" count="1" selected="0">
            <x v="192"/>
          </reference>
          <reference field="1" count="1">
            <x v="224"/>
          </reference>
        </references>
      </pivotArea>
    </format>
    <format dxfId="943">
      <pivotArea dataOnly="0" labelOnly="1" fieldPosition="0">
        <references count="2">
          <reference field="0" count="1" selected="0">
            <x v="193"/>
          </reference>
          <reference field="1" count="1">
            <x v="225"/>
          </reference>
        </references>
      </pivotArea>
    </format>
    <format dxfId="942">
      <pivotArea dataOnly="0" labelOnly="1" fieldPosition="0">
        <references count="2">
          <reference field="0" count="1" selected="0">
            <x v="197"/>
          </reference>
          <reference field="1" count="1">
            <x v="236"/>
          </reference>
        </references>
      </pivotArea>
    </format>
    <format dxfId="941">
      <pivotArea dataOnly="0" labelOnly="1" fieldPosition="0">
        <references count="2">
          <reference field="0" count="1" selected="0">
            <x v="199"/>
          </reference>
          <reference field="1" count="1">
            <x v="238"/>
          </reference>
        </references>
      </pivotArea>
    </format>
    <format dxfId="940">
      <pivotArea dataOnly="0" labelOnly="1" fieldPosition="0">
        <references count="2">
          <reference field="0" count="1" selected="0">
            <x v="200"/>
          </reference>
          <reference field="1" count="1">
            <x v="239"/>
          </reference>
        </references>
      </pivotArea>
    </format>
    <format dxfId="939">
      <pivotArea dataOnly="0" labelOnly="1" fieldPosition="0">
        <references count="2">
          <reference field="0" count="1" selected="0">
            <x v="201"/>
          </reference>
          <reference field="1" count="1">
            <x v="240"/>
          </reference>
        </references>
      </pivotArea>
    </format>
    <format dxfId="938">
      <pivotArea dataOnly="0" labelOnly="1" fieldPosition="0">
        <references count="2">
          <reference field="0" count="1" selected="0">
            <x v="204"/>
          </reference>
          <reference field="1" count="1">
            <x v="149"/>
          </reference>
        </references>
      </pivotArea>
    </format>
    <format dxfId="937">
      <pivotArea dataOnly="0" labelOnly="1" fieldPosition="0">
        <references count="2">
          <reference field="0" count="1" selected="0">
            <x v="206"/>
          </reference>
          <reference field="1" count="1">
            <x v="151"/>
          </reference>
        </references>
      </pivotArea>
    </format>
    <format dxfId="936">
      <pivotArea dataOnly="0" labelOnly="1" fieldPosition="0">
        <references count="2">
          <reference field="0" count="1" selected="0">
            <x v="207"/>
          </reference>
          <reference field="1" count="1">
            <x v="152"/>
          </reference>
        </references>
      </pivotArea>
    </format>
    <format dxfId="935">
      <pivotArea dataOnly="0" labelOnly="1" fieldPosition="0">
        <references count="2">
          <reference field="0" count="1" selected="0">
            <x v="208"/>
          </reference>
          <reference field="1" count="1">
            <x v="153"/>
          </reference>
        </references>
      </pivotArea>
    </format>
    <format dxfId="934">
      <pivotArea dataOnly="0" labelOnly="1" fieldPosition="0">
        <references count="2">
          <reference field="0" count="1" selected="0">
            <x v="209"/>
          </reference>
          <reference field="1" count="1">
            <x v="154"/>
          </reference>
        </references>
      </pivotArea>
    </format>
    <format dxfId="933">
      <pivotArea dataOnly="0" labelOnly="1" fieldPosition="0">
        <references count="2">
          <reference field="0" count="1" selected="0">
            <x v="210"/>
          </reference>
          <reference field="1" count="1">
            <x v="155"/>
          </reference>
        </references>
      </pivotArea>
    </format>
    <format dxfId="932">
      <pivotArea dataOnly="0" labelOnly="1" fieldPosition="0">
        <references count="2">
          <reference field="0" count="1" selected="0">
            <x v="211"/>
          </reference>
          <reference field="1" count="1">
            <x v="156"/>
          </reference>
        </references>
      </pivotArea>
    </format>
    <format dxfId="931">
      <pivotArea dataOnly="0" labelOnly="1" fieldPosition="0">
        <references count="2">
          <reference field="0" count="1" selected="0">
            <x v="212"/>
          </reference>
          <reference field="1" count="1">
            <x v="157"/>
          </reference>
        </references>
      </pivotArea>
    </format>
    <format dxfId="930">
      <pivotArea dataOnly="0" labelOnly="1" fieldPosition="0">
        <references count="2">
          <reference field="0" count="1" selected="0">
            <x v="214"/>
          </reference>
          <reference field="1" count="1">
            <x v="159"/>
          </reference>
        </references>
      </pivotArea>
    </format>
    <format dxfId="929">
      <pivotArea dataOnly="0" labelOnly="1" fieldPosition="0">
        <references count="2">
          <reference field="0" count="1" selected="0">
            <x v="215"/>
          </reference>
          <reference field="1" count="1">
            <x v="160"/>
          </reference>
        </references>
      </pivotArea>
    </format>
    <format dxfId="928">
      <pivotArea dataOnly="0" labelOnly="1" fieldPosition="0">
        <references count="2">
          <reference field="0" count="1" selected="0">
            <x v="216"/>
          </reference>
          <reference field="1" count="1">
            <x v="161"/>
          </reference>
        </references>
      </pivotArea>
    </format>
    <format dxfId="927">
      <pivotArea dataOnly="0" labelOnly="1" fieldPosition="0">
        <references count="2">
          <reference field="0" count="1" selected="0">
            <x v="217"/>
          </reference>
          <reference field="1" count="1">
            <x v="162"/>
          </reference>
        </references>
      </pivotArea>
    </format>
    <format dxfId="926">
      <pivotArea dataOnly="0" labelOnly="1" fieldPosition="0">
        <references count="2">
          <reference field="0" count="1" selected="0">
            <x v="218"/>
          </reference>
          <reference field="1" count="1">
            <x v="163"/>
          </reference>
        </references>
      </pivotArea>
    </format>
    <format dxfId="925">
      <pivotArea dataOnly="0" labelOnly="1" fieldPosition="0">
        <references count="2">
          <reference field="0" count="1" selected="0">
            <x v="219"/>
          </reference>
          <reference field="1" count="1">
            <x v="164"/>
          </reference>
        </references>
      </pivotArea>
    </format>
    <format dxfId="924">
      <pivotArea dataOnly="0" labelOnly="1" fieldPosition="0">
        <references count="2">
          <reference field="0" count="1" selected="0">
            <x v="220"/>
          </reference>
          <reference field="1" count="1">
            <x v="165"/>
          </reference>
        </references>
      </pivotArea>
    </format>
    <format dxfId="923">
      <pivotArea dataOnly="0" labelOnly="1" fieldPosition="0">
        <references count="2">
          <reference field="0" count="1" selected="0">
            <x v="221"/>
          </reference>
          <reference field="1" count="1">
            <x v="166"/>
          </reference>
        </references>
      </pivotArea>
    </format>
    <format dxfId="922">
      <pivotArea dataOnly="0" labelOnly="1" fieldPosition="0">
        <references count="2">
          <reference field="0" count="1" selected="0">
            <x v="223"/>
          </reference>
          <reference field="1" count="1">
            <x v="168"/>
          </reference>
        </references>
      </pivotArea>
    </format>
    <format dxfId="921">
      <pivotArea dataOnly="0" labelOnly="1" fieldPosition="0">
        <references count="2">
          <reference field="0" count="1" selected="0">
            <x v="224"/>
          </reference>
          <reference field="1" count="1">
            <x v="169"/>
          </reference>
        </references>
      </pivotArea>
    </format>
    <format dxfId="920">
      <pivotArea dataOnly="0" labelOnly="1" fieldPosition="0">
        <references count="2">
          <reference field="0" count="1" selected="0">
            <x v="225"/>
          </reference>
          <reference field="1" count="1">
            <x v="170"/>
          </reference>
        </references>
      </pivotArea>
    </format>
    <format dxfId="919">
      <pivotArea dataOnly="0" labelOnly="1" fieldPosition="0">
        <references count="2">
          <reference field="0" count="1" selected="0">
            <x v="226"/>
          </reference>
          <reference field="1" count="1">
            <x v="171"/>
          </reference>
        </references>
      </pivotArea>
    </format>
    <format dxfId="918">
      <pivotArea dataOnly="0" labelOnly="1" fieldPosition="0">
        <references count="2">
          <reference field="0" count="1" selected="0">
            <x v="227"/>
          </reference>
          <reference field="1" count="1">
            <x v="172"/>
          </reference>
        </references>
      </pivotArea>
    </format>
    <format dxfId="917">
      <pivotArea dataOnly="0" labelOnly="1" fieldPosition="0">
        <references count="2">
          <reference field="0" count="1" selected="0">
            <x v="228"/>
          </reference>
          <reference field="1" count="1">
            <x v="173"/>
          </reference>
        </references>
      </pivotArea>
    </format>
    <format dxfId="916">
      <pivotArea dataOnly="0" labelOnly="1" fieldPosition="0">
        <references count="2">
          <reference field="0" count="1" selected="0">
            <x v="229"/>
          </reference>
          <reference field="1" count="1">
            <x v="174"/>
          </reference>
        </references>
      </pivotArea>
    </format>
    <format dxfId="915">
      <pivotArea dataOnly="0" labelOnly="1" fieldPosition="0">
        <references count="2">
          <reference field="0" count="1" selected="0">
            <x v="230"/>
          </reference>
          <reference field="1" count="1">
            <x v="175"/>
          </reference>
        </references>
      </pivotArea>
    </format>
    <format dxfId="914">
      <pivotArea dataOnly="0" labelOnly="1" fieldPosition="0">
        <references count="2">
          <reference field="0" count="1" selected="0">
            <x v="231"/>
          </reference>
          <reference field="1" count="1">
            <x v="176"/>
          </reference>
        </references>
      </pivotArea>
    </format>
    <format dxfId="913">
      <pivotArea dataOnly="0" labelOnly="1" fieldPosition="0">
        <references count="2">
          <reference field="0" count="1" selected="0">
            <x v="232"/>
          </reference>
          <reference field="1" count="1">
            <x v="177"/>
          </reference>
        </references>
      </pivotArea>
    </format>
    <format dxfId="912">
      <pivotArea dataOnly="0" labelOnly="1" fieldPosition="0">
        <references count="2">
          <reference field="0" count="1" selected="0">
            <x v="233"/>
          </reference>
          <reference field="1" count="1">
            <x v="178"/>
          </reference>
        </references>
      </pivotArea>
    </format>
    <format dxfId="911">
      <pivotArea dataOnly="0" labelOnly="1" fieldPosition="0">
        <references count="2">
          <reference field="0" count="1" selected="0">
            <x v="234"/>
          </reference>
          <reference field="1" count="1">
            <x v="179"/>
          </reference>
        </references>
      </pivotArea>
    </format>
    <format dxfId="910">
      <pivotArea dataOnly="0" labelOnly="1" fieldPosition="0">
        <references count="2">
          <reference field="0" count="1" selected="0">
            <x v="235"/>
          </reference>
          <reference field="1" count="1">
            <x v="191"/>
          </reference>
        </references>
      </pivotArea>
    </format>
    <format dxfId="909">
      <pivotArea dataOnly="0" labelOnly="1" fieldPosition="0">
        <references count="2">
          <reference field="0" count="1" selected="0">
            <x v="236"/>
          </reference>
          <reference field="1" count="1">
            <x v="192"/>
          </reference>
        </references>
      </pivotArea>
    </format>
    <format dxfId="908">
      <pivotArea dataOnly="0" labelOnly="1" fieldPosition="0">
        <references count="2">
          <reference field="0" count="1" selected="0">
            <x v="237"/>
          </reference>
          <reference field="1" count="1">
            <x v="193"/>
          </reference>
        </references>
      </pivotArea>
    </format>
    <format dxfId="907">
      <pivotArea dataOnly="0" labelOnly="1" fieldPosition="0">
        <references count="2">
          <reference field="0" count="1" selected="0">
            <x v="238"/>
          </reference>
          <reference field="1" count="1">
            <x v="194"/>
          </reference>
        </references>
      </pivotArea>
    </format>
    <format dxfId="906">
      <pivotArea dataOnly="0" labelOnly="1" fieldPosition="0">
        <references count="2">
          <reference field="0" count="1" selected="0">
            <x v="239"/>
          </reference>
          <reference field="1" count="1">
            <x v="195"/>
          </reference>
        </references>
      </pivotArea>
    </format>
    <format dxfId="905">
      <pivotArea dataOnly="0" labelOnly="1" fieldPosition="0">
        <references count="2">
          <reference field="0" count="1" selected="0">
            <x v="240"/>
          </reference>
          <reference field="1" count="1">
            <x v="196"/>
          </reference>
        </references>
      </pivotArea>
    </format>
    <format dxfId="904">
      <pivotArea dataOnly="0" labelOnly="1" fieldPosition="0">
        <references count="2">
          <reference field="0" count="1" selected="0">
            <x v="241"/>
          </reference>
          <reference field="1" count="1">
            <x v="197"/>
          </reference>
        </references>
      </pivotArea>
    </format>
    <format dxfId="903">
      <pivotArea dataOnly="0" labelOnly="1" fieldPosition="0">
        <references count="2">
          <reference field="0" count="1" selected="0">
            <x v="242"/>
          </reference>
          <reference field="1" count="1">
            <x v="198"/>
          </reference>
        </references>
      </pivotArea>
    </format>
    <format dxfId="902">
      <pivotArea dataOnly="0" labelOnly="1" fieldPosition="0">
        <references count="3">
          <reference field="0" count="1" selected="0">
            <x v="0"/>
          </reference>
          <reference field="1" count="1" selected="0">
            <x v="228"/>
          </reference>
          <reference field="2" count="1">
            <x v="153"/>
          </reference>
        </references>
      </pivotArea>
    </format>
    <format dxfId="901">
      <pivotArea dataOnly="0" labelOnly="1" fieldPosition="0">
        <references count="3">
          <reference field="0" count="1" selected="0">
            <x v="2"/>
          </reference>
          <reference field="1" count="1" selected="0">
            <x v="230"/>
          </reference>
          <reference field="2" count="1">
            <x v="225"/>
          </reference>
        </references>
      </pivotArea>
    </format>
    <format dxfId="900">
      <pivotArea dataOnly="0" labelOnly="1" fieldPosition="0">
        <references count="3">
          <reference field="0" count="1" selected="0">
            <x v="3"/>
          </reference>
          <reference field="1" count="1" selected="0">
            <x v="231"/>
          </reference>
          <reference field="2" count="1">
            <x v="88"/>
          </reference>
        </references>
      </pivotArea>
    </format>
    <format dxfId="899">
      <pivotArea dataOnly="0" labelOnly="1" fieldPosition="0">
        <references count="3">
          <reference field="0" count="1" selected="0">
            <x v="4"/>
          </reference>
          <reference field="1" count="1" selected="0">
            <x v="232"/>
          </reference>
          <reference field="2" count="1">
            <x v="90"/>
          </reference>
        </references>
      </pivotArea>
    </format>
    <format dxfId="898">
      <pivotArea dataOnly="0" labelOnly="1" fieldPosition="0">
        <references count="3">
          <reference field="0" count="1" selected="0">
            <x v="5"/>
          </reference>
          <reference field="1" count="1" selected="0">
            <x v="233"/>
          </reference>
          <reference field="2" count="1">
            <x v="224"/>
          </reference>
        </references>
      </pivotArea>
    </format>
    <format dxfId="897">
      <pivotArea dataOnly="0" labelOnly="1" fieldPosition="0">
        <references count="3">
          <reference field="0" count="1" selected="0">
            <x v="7"/>
          </reference>
          <reference field="1" count="1" selected="0">
            <x v="118"/>
          </reference>
          <reference field="2" count="1">
            <x v="171"/>
          </reference>
        </references>
      </pivotArea>
    </format>
    <format dxfId="896">
      <pivotArea dataOnly="0" labelOnly="1" fieldPosition="0">
        <references count="3">
          <reference field="0" count="1" selected="0">
            <x v="9"/>
          </reference>
          <reference field="1" count="1" selected="0">
            <x v="120"/>
          </reference>
          <reference field="2" count="1">
            <x v="168"/>
          </reference>
        </references>
      </pivotArea>
    </format>
    <format dxfId="895">
      <pivotArea dataOnly="0" labelOnly="1" fieldPosition="0">
        <references count="3">
          <reference field="0" count="1" selected="0">
            <x v="10"/>
          </reference>
          <reference field="1" count="1" selected="0">
            <x v="121"/>
          </reference>
          <reference field="2" count="1">
            <x v="82"/>
          </reference>
        </references>
      </pivotArea>
    </format>
    <format dxfId="894">
      <pivotArea dataOnly="0" labelOnly="1" fieldPosition="0">
        <references count="3">
          <reference field="0" count="1" selected="0">
            <x v="11"/>
          </reference>
          <reference field="1" count="1" selected="0">
            <x v="122"/>
          </reference>
          <reference field="2" count="1">
            <x v="26"/>
          </reference>
        </references>
      </pivotArea>
    </format>
    <format dxfId="893">
      <pivotArea dataOnly="0" labelOnly="1" fieldPosition="0">
        <references count="3">
          <reference field="0" count="1" selected="0">
            <x v="12"/>
          </reference>
          <reference field="1" count="1" selected="0">
            <x v="123"/>
          </reference>
          <reference field="2" count="1">
            <x v="150"/>
          </reference>
        </references>
      </pivotArea>
    </format>
    <format dxfId="892">
      <pivotArea dataOnly="0" labelOnly="1" fieldPosition="0">
        <references count="3">
          <reference field="0" count="1" selected="0">
            <x v="16"/>
          </reference>
          <reference field="1" count="1" selected="0">
            <x v="64"/>
          </reference>
          <reference field="2" count="1">
            <x v="157"/>
          </reference>
        </references>
      </pivotArea>
    </format>
    <format dxfId="891">
      <pivotArea dataOnly="0" labelOnly="1" fieldPosition="0">
        <references count="3">
          <reference field="0" count="1" selected="0">
            <x v="18"/>
          </reference>
          <reference field="1" count="1" selected="0">
            <x v="66"/>
          </reference>
          <reference field="2" count="1">
            <x v="189"/>
          </reference>
        </references>
      </pivotArea>
    </format>
    <format dxfId="890">
      <pivotArea dataOnly="0" labelOnly="1" fieldPosition="0">
        <references count="3">
          <reference field="0" count="1" selected="0">
            <x v="22"/>
          </reference>
          <reference field="1" count="1" selected="0">
            <x v="19"/>
          </reference>
          <reference field="2" count="1">
            <x v="39"/>
          </reference>
        </references>
      </pivotArea>
    </format>
    <format dxfId="889">
      <pivotArea dataOnly="0" labelOnly="1" fieldPosition="0">
        <references count="3">
          <reference field="0" count="1" selected="0">
            <x v="25"/>
          </reference>
          <reference field="1" count="1" selected="0">
            <x v="22"/>
          </reference>
          <reference field="2" count="1">
            <x v="84"/>
          </reference>
        </references>
      </pivotArea>
    </format>
    <format dxfId="888">
      <pivotArea dataOnly="0" labelOnly="1" fieldPosition="0">
        <references count="3">
          <reference field="0" count="1" selected="0">
            <x v="26"/>
          </reference>
          <reference field="1" count="1" selected="0">
            <x v="23"/>
          </reference>
          <reference field="2" count="1">
            <x v="217"/>
          </reference>
        </references>
      </pivotArea>
    </format>
    <format dxfId="887">
      <pivotArea dataOnly="0" labelOnly="1" fieldPosition="0">
        <references count="3">
          <reference field="0" count="1" selected="0">
            <x v="28"/>
          </reference>
          <reference field="1" count="1" selected="0">
            <x v="25"/>
          </reference>
          <reference field="2" count="1">
            <x v="52"/>
          </reference>
        </references>
      </pivotArea>
    </format>
    <format dxfId="886">
      <pivotArea dataOnly="0" labelOnly="1" fieldPosition="0">
        <references count="3">
          <reference field="0" count="1" selected="0">
            <x v="29"/>
          </reference>
          <reference field="1" count="1" selected="0">
            <x v="26"/>
          </reference>
          <reference field="2" count="1">
            <x v="62"/>
          </reference>
        </references>
      </pivotArea>
    </format>
    <format dxfId="885">
      <pivotArea dataOnly="0" labelOnly="1" fieldPosition="0">
        <references count="3">
          <reference field="0" count="1" selected="0">
            <x v="30"/>
          </reference>
          <reference field="1" count="1" selected="0">
            <x v="27"/>
          </reference>
          <reference field="2" count="1">
            <x v="7"/>
          </reference>
        </references>
      </pivotArea>
    </format>
    <format dxfId="884">
      <pivotArea dataOnly="0" labelOnly="1" fieldPosition="0">
        <references count="3">
          <reference field="0" count="1" selected="0">
            <x v="31"/>
          </reference>
          <reference field="1" count="1" selected="0">
            <x v="28"/>
          </reference>
          <reference field="2" count="1">
            <x v="53"/>
          </reference>
        </references>
      </pivotArea>
    </format>
    <format dxfId="883">
      <pivotArea dataOnly="0" labelOnly="1" fieldPosition="0">
        <references count="3">
          <reference field="0" count="1" selected="0">
            <x v="35"/>
          </reference>
          <reference field="1" count="1" selected="0">
            <x v="32"/>
          </reference>
          <reference field="2" count="1">
            <x v="51"/>
          </reference>
        </references>
      </pivotArea>
    </format>
    <format dxfId="882">
      <pivotArea dataOnly="0" labelOnly="1" fieldPosition="0">
        <references count="3">
          <reference field="0" count="1" selected="0">
            <x v="36"/>
          </reference>
          <reference field="1" count="1" selected="0">
            <x v="33"/>
          </reference>
          <reference field="2" count="1">
            <x v="130"/>
          </reference>
        </references>
      </pivotArea>
    </format>
    <format dxfId="881">
      <pivotArea dataOnly="0" labelOnly="1" fieldPosition="0">
        <references count="3">
          <reference field="0" count="1" selected="0">
            <x v="37"/>
          </reference>
          <reference field="1" count="1" selected="0">
            <x v="34"/>
          </reference>
          <reference field="2" count="1">
            <x v="70"/>
          </reference>
        </references>
      </pivotArea>
    </format>
    <format dxfId="880">
      <pivotArea dataOnly="0" labelOnly="1" fieldPosition="0">
        <references count="3">
          <reference field="0" count="1" selected="0">
            <x v="38"/>
          </reference>
          <reference field="1" count="1" selected="0">
            <x v="0"/>
          </reference>
          <reference field="2" count="1">
            <x v="45"/>
          </reference>
        </references>
      </pivotArea>
    </format>
    <format dxfId="879">
      <pivotArea dataOnly="0" labelOnly="1" fieldPosition="0">
        <references count="3">
          <reference field="0" count="1" selected="0">
            <x v="39"/>
          </reference>
          <reference field="1" count="1" selected="0">
            <x v="1"/>
          </reference>
          <reference field="2" count="1">
            <x v="46"/>
          </reference>
        </references>
      </pivotArea>
    </format>
    <format dxfId="878">
      <pivotArea dataOnly="0" labelOnly="1" fieldPosition="0">
        <references count="3">
          <reference field="0" count="1" selected="0">
            <x v="40"/>
          </reference>
          <reference field="1" count="1" selected="0">
            <x v="2"/>
          </reference>
          <reference field="2" count="1">
            <x v="128"/>
          </reference>
        </references>
      </pivotArea>
    </format>
    <format dxfId="877">
      <pivotArea dataOnly="0" labelOnly="1" fieldPosition="0">
        <references count="3">
          <reference field="0" count="1" selected="0">
            <x v="41"/>
          </reference>
          <reference field="1" count="1" selected="0">
            <x v="3"/>
          </reference>
          <reference field="2" count="1">
            <x v="105"/>
          </reference>
        </references>
      </pivotArea>
    </format>
    <format dxfId="876">
      <pivotArea dataOnly="0" labelOnly="1" fieldPosition="0">
        <references count="3">
          <reference field="0" count="1" selected="0">
            <x v="42"/>
          </reference>
          <reference field="1" count="1" selected="0">
            <x v="4"/>
          </reference>
          <reference field="2" count="1">
            <x v="64"/>
          </reference>
        </references>
      </pivotArea>
    </format>
    <format dxfId="875">
      <pivotArea dataOnly="0" labelOnly="1" fieldPosition="0">
        <references count="3">
          <reference field="0" count="1" selected="0">
            <x v="43"/>
          </reference>
          <reference field="1" count="1" selected="0">
            <x v="5"/>
          </reference>
          <reference field="2" count="1">
            <x v="19"/>
          </reference>
        </references>
      </pivotArea>
    </format>
    <format dxfId="874">
      <pivotArea dataOnly="0" labelOnly="1" fieldPosition="0">
        <references count="3">
          <reference field="0" count="1" selected="0">
            <x v="44"/>
          </reference>
          <reference field="1" count="1" selected="0">
            <x v="6"/>
          </reference>
          <reference field="2" count="1">
            <x v="23"/>
          </reference>
        </references>
      </pivotArea>
    </format>
    <format dxfId="873">
      <pivotArea dataOnly="0" labelOnly="1" fieldPosition="0">
        <references count="3">
          <reference field="0" count="1" selected="0">
            <x v="45"/>
          </reference>
          <reference field="1" count="1" selected="0">
            <x v="7"/>
          </reference>
          <reference field="2" count="1">
            <x v="22"/>
          </reference>
        </references>
      </pivotArea>
    </format>
    <format dxfId="872">
      <pivotArea dataOnly="0" labelOnly="1" fieldPosition="0">
        <references count="3">
          <reference field="0" count="1" selected="0">
            <x v="46"/>
          </reference>
          <reference field="1" count="1" selected="0">
            <x v="8"/>
          </reference>
          <reference field="2" count="1">
            <x v="135"/>
          </reference>
        </references>
      </pivotArea>
    </format>
    <format dxfId="871">
      <pivotArea dataOnly="0" labelOnly="1" fieldPosition="0">
        <references count="3">
          <reference field="0" count="1" selected="0">
            <x v="47"/>
          </reference>
          <reference field="1" count="1" selected="0">
            <x v="9"/>
          </reference>
          <reference field="2" count="1">
            <x v="141"/>
          </reference>
        </references>
      </pivotArea>
    </format>
    <format dxfId="870">
      <pivotArea dataOnly="0" labelOnly="1" fieldPosition="0">
        <references count="3">
          <reference field="0" count="1" selected="0">
            <x v="49"/>
          </reference>
          <reference field="1" count="1" selected="0">
            <x v="11"/>
          </reference>
          <reference field="2" count="1">
            <x v="127"/>
          </reference>
        </references>
      </pivotArea>
    </format>
    <format dxfId="869">
      <pivotArea dataOnly="0" labelOnly="1" fieldPosition="0">
        <references count="3">
          <reference field="0" count="1" selected="0">
            <x v="55"/>
          </reference>
          <reference field="1" count="1" selected="0">
            <x v="35"/>
          </reference>
          <reference field="2" count="1">
            <x v="65"/>
          </reference>
        </references>
      </pivotArea>
    </format>
    <format dxfId="868">
      <pivotArea dataOnly="0" labelOnly="1" fieldPosition="0">
        <references count="3">
          <reference field="0" count="1" selected="0">
            <x v="56"/>
          </reference>
          <reference field="1" count="1" selected="0">
            <x v="36"/>
          </reference>
          <reference field="2" count="1">
            <x v="183"/>
          </reference>
        </references>
      </pivotArea>
    </format>
    <format dxfId="867">
      <pivotArea dataOnly="0" labelOnly="1" fieldPosition="0">
        <references count="3">
          <reference field="0" count="1" selected="0">
            <x v="62"/>
          </reference>
          <reference field="1" count="1" selected="0">
            <x v="42"/>
          </reference>
          <reference field="2" count="1">
            <x v="15"/>
          </reference>
        </references>
      </pivotArea>
    </format>
    <format dxfId="866">
      <pivotArea dataOnly="0" labelOnly="1" fieldPosition="0">
        <references count="3">
          <reference field="0" count="1" selected="0">
            <x v="63"/>
          </reference>
          <reference field="1" count="1" selected="0">
            <x v="43"/>
          </reference>
          <reference field="2" count="1">
            <x v="152"/>
          </reference>
        </references>
      </pivotArea>
    </format>
    <format dxfId="865">
      <pivotArea dataOnly="0" labelOnly="1" fieldPosition="0">
        <references count="3">
          <reference field="0" count="1" selected="0">
            <x v="64"/>
          </reference>
          <reference field="1" count="1" selected="0">
            <x v="44"/>
          </reference>
          <reference field="2" count="1">
            <x v="146"/>
          </reference>
        </references>
      </pivotArea>
    </format>
    <format dxfId="864">
      <pivotArea dataOnly="0" labelOnly="1" fieldPosition="0">
        <references count="3">
          <reference field="0" count="1" selected="0">
            <x v="65"/>
          </reference>
          <reference field="1" count="1" selected="0">
            <x v="45"/>
          </reference>
          <reference field="2" count="1">
            <x v="204"/>
          </reference>
        </references>
      </pivotArea>
    </format>
    <format dxfId="863">
      <pivotArea dataOnly="0" labelOnly="1" fieldPosition="0">
        <references count="3">
          <reference field="0" count="1" selected="0">
            <x v="66"/>
          </reference>
          <reference field="1" count="1" selected="0">
            <x v="46"/>
          </reference>
          <reference field="2" count="1">
            <x v="92"/>
          </reference>
        </references>
      </pivotArea>
    </format>
    <format dxfId="862">
      <pivotArea dataOnly="0" labelOnly="1" fieldPosition="0">
        <references count="3">
          <reference field="0" count="1" selected="0">
            <x v="67"/>
          </reference>
          <reference field="1" count="1" selected="0">
            <x v="47"/>
          </reference>
          <reference field="2" count="1">
            <x v="181"/>
          </reference>
        </references>
      </pivotArea>
    </format>
    <format dxfId="861">
      <pivotArea dataOnly="0" labelOnly="1" fieldPosition="0">
        <references count="3">
          <reference field="0" count="1" selected="0">
            <x v="68"/>
          </reference>
          <reference field="1" count="1" selected="0">
            <x v="48"/>
          </reference>
          <reference field="2" count="1">
            <x v="231"/>
          </reference>
        </references>
      </pivotArea>
    </format>
    <format dxfId="860">
      <pivotArea dataOnly="0" labelOnly="1" fieldPosition="0">
        <references count="3">
          <reference field="0" count="1" selected="0">
            <x v="79"/>
          </reference>
          <reference field="1" count="1" selected="0">
            <x v="59"/>
          </reference>
          <reference field="2" count="1">
            <x v="21"/>
          </reference>
        </references>
      </pivotArea>
    </format>
    <format dxfId="859">
      <pivotArea dataOnly="0" labelOnly="1" fieldPosition="0">
        <references count="3">
          <reference field="0" count="1" selected="0">
            <x v="81"/>
          </reference>
          <reference field="1" count="1" selected="0">
            <x v="68"/>
          </reference>
          <reference field="2" count="1">
            <x v="112"/>
          </reference>
        </references>
      </pivotArea>
    </format>
    <format dxfId="858">
      <pivotArea dataOnly="0" labelOnly="1" fieldPosition="0">
        <references count="3">
          <reference field="0" count="1" selected="0">
            <x v="82"/>
          </reference>
          <reference field="1" count="1" selected="0">
            <x v="69"/>
          </reference>
          <reference field="2" count="1">
            <x v="226"/>
          </reference>
        </references>
      </pivotArea>
    </format>
    <format dxfId="857">
      <pivotArea dataOnly="0" labelOnly="1" fieldPosition="0">
        <references count="3">
          <reference field="0" count="1" selected="0">
            <x v="83"/>
          </reference>
          <reference field="1" count="1" selected="0">
            <x v="70"/>
          </reference>
          <reference field="2" count="1">
            <x v="193"/>
          </reference>
        </references>
      </pivotArea>
    </format>
    <format dxfId="856">
      <pivotArea dataOnly="0" labelOnly="1" fieldPosition="0">
        <references count="3">
          <reference field="0" count="1" selected="0">
            <x v="84"/>
          </reference>
          <reference field="1" count="1" selected="0">
            <x v="71"/>
          </reference>
          <reference field="2" count="1">
            <x v="192"/>
          </reference>
        </references>
      </pivotArea>
    </format>
    <format dxfId="855">
      <pivotArea dataOnly="0" labelOnly="1" fieldPosition="0">
        <references count="3">
          <reference field="0" count="1" selected="0">
            <x v="85"/>
          </reference>
          <reference field="1" count="1" selected="0">
            <x v="72"/>
          </reference>
          <reference field="2" count="1">
            <x v="87"/>
          </reference>
        </references>
      </pivotArea>
    </format>
    <format dxfId="854">
      <pivotArea dataOnly="0" labelOnly="1" fieldPosition="0">
        <references count="3">
          <reference field="0" count="1" selected="0">
            <x v="86"/>
          </reference>
          <reference field="1" count="1" selected="0">
            <x v="73"/>
          </reference>
          <reference field="2" count="1">
            <x v="154"/>
          </reference>
        </references>
      </pivotArea>
    </format>
    <format dxfId="853">
      <pivotArea dataOnly="0" labelOnly="1" fieldPosition="0">
        <references count="3">
          <reference field="0" count="1" selected="0">
            <x v="87"/>
          </reference>
          <reference field="1" count="1" selected="0">
            <x v="74"/>
          </reference>
          <reference field="2" count="1">
            <x v="208"/>
          </reference>
        </references>
      </pivotArea>
    </format>
    <format dxfId="852">
      <pivotArea dataOnly="0" labelOnly="1" fieldPosition="0">
        <references count="3">
          <reference field="0" count="1" selected="0">
            <x v="88"/>
          </reference>
          <reference field="1" count="1" selected="0">
            <x v="75"/>
          </reference>
          <reference field="2" count="1">
            <x v="38"/>
          </reference>
        </references>
      </pivotArea>
    </format>
    <format dxfId="851">
      <pivotArea dataOnly="0" labelOnly="1" fieldPosition="0">
        <references count="3">
          <reference field="0" count="1" selected="0">
            <x v="89"/>
          </reference>
          <reference field="1" count="1" selected="0">
            <x v="76"/>
          </reference>
          <reference field="2" count="1">
            <x v="232"/>
          </reference>
        </references>
      </pivotArea>
    </format>
    <format dxfId="850">
      <pivotArea dataOnly="0" labelOnly="1" fieldPosition="0">
        <references count="3">
          <reference field="0" count="1" selected="0">
            <x v="90"/>
          </reference>
          <reference field="1" count="1" selected="0">
            <x v="77"/>
          </reference>
          <reference field="2" count="1">
            <x v="43"/>
          </reference>
        </references>
      </pivotArea>
    </format>
    <format dxfId="849">
      <pivotArea dataOnly="0" labelOnly="1" fieldPosition="0">
        <references count="3">
          <reference field="0" count="1" selected="0">
            <x v="91"/>
          </reference>
          <reference field="1" count="1" selected="0">
            <x v="78"/>
          </reference>
          <reference field="2" count="1">
            <x v="12"/>
          </reference>
        </references>
      </pivotArea>
    </format>
    <format dxfId="848">
      <pivotArea dataOnly="0" labelOnly="1" fieldPosition="0">
        <references count="3">
          <reference field="0" count="1" selected="0">
            <x v="93"/>
          </reference>
          <reference field="1" count="1" selected="0">
            <x v="80"/>
          </reference>
          <reference field="2" count="1">
            <x v="180"/>
          </reference>
        </references>
      </pivotArea>
    </format>
    <format dxfId="847">
      <pivotArea dataOnly="0" labelOnly="1" fieldPosition="0">
        <references count="3">
          <reference field="0" count="1" selected="0">
            <x v="94"/>
          </reference>
          <reference field="1" count="1" selected="0">
            <x v="81"/>
          </reference>
          <reference field="2" count="1">
            <x v="60"/>
          </reference>
        </references>
      </pivotArea>
    </format>
    <format dxfId="846">
      <pivotArea dataOnly="0" labelOnly="1" fieldPosition="0">
        <references count="3">
          <reference field="0" count="1" selected="0">
            <x v="95"/>
          </reference>
          <reference field="1" count="1" selected="0">
            <x v="82"/>
          </reference>
          <reference field="2" count="1">
            <x v="5"/>
          </reference>
        </references>
      </pivotArea>
    </format>
    <format dxfId="845">
      <pivotArea dataOnly="0" labelOnly="1" fieldPosition="0">
        <references count="3">
          <reference field="0" count="1" selected="0">
            <x v="96"/>
          </reference>
          <reference field="1" count="1" selected="0">
            <x v="83"/>
          </reference>
          <reference field="2" count="1">
            <x v="173"/>
          </reference>
        </references>
      </pivotArea>
    </format>
    <format dxfId="844">
      <pivotArea dataOnly="0" labelOnly="1" fieldPosition="0">
        <references count="3">
          <reference field="0" count="1" selected="0">
            <x v="97"/>
          </reference>
          <reference field="1" count="1" selected="0">
            <x v="84"/>
          </reference>
          <reference field="2" count="1">
            <x v="6"/>
          </reference>
        </references>
      </pivotArea>
    </format>
    <format dxfId="843">
      <pivotArea dataOnly="0" labelOnly="1" fieldPosition="0">
        <references count="3">
          <reference field="0" count="1" selected="0">
            <x v="98"/>
          </reference>
          <reference field="1" count="1" selected="0">
            <x v="85"/>
          </reference>
          <reference field="2" count="1">
            <x v="214"/>
          </reference>
        </references>
      </pivotArea>
    </format>
    <format dxfId="842">
      <pivotArea dataOnly="0" labelOnly="1" fieldPosition="0">
        <references count="3">
          <reference field="0" count="1" selected="0">
            <x v="99"/>
          </reference>
          <reference field="1" count="1" selected="0">
            <x v="86"/>
          </reference>
          <reference field="2" count="1">
            <x v="66"/>
          </reference>
        </references>
      </pivotArea>
    </format>
    <format dxfId="841">
      <pivotArea dataOnly="0" labelOnly="1" fieldPosition="0">
        <references count="3">
          <reference field="0" count="1" selected="0">
            <x v="100"/>
          </reference>
          <reference field="1" count="1" selected="0">
            <x v="87"/>
          </reference>
          <reference field="2" count="1">
            <x v="75"/>
          </reference>
        </references>
      </pivotArea>
    </format>
    <format dxfId="840">
      <pivotArea dataOnly="0" labelOnly="1" fieldPosition="0">
        <references count="3">
          <reference field="0" count="1" selected="0">
            <x v="101"/>
          </reference>
          <reference field="1" count="1" selected="0">
            <x v="88"/>
          </reference>
          <reference field="2" count="1">
            <x v="29"/>
          </reference>
        </references>
      </pivotArea>
    </format>
    <format dxfId="839">
      <pivotArea dataOnly="0" labelOnly="1" fieldPosition="0">
        <references count="3">
          <reference field="0" count="1" selected="0">
            <x v="102"/>
          </reference>
          <reference field="1" count="1" selected="0">
            <x v="89"/>
          </reference>
          <reference field="2" count="1">
            <x v="14"/>
          </reference>
        </references>
      </pivotArea>
    </format>
    <format dxfId="838">
      <pivotArea dataOnly="0" labelOnly="1" fieldPosition="0">
        <references count="3">
          <reference field="0" count="1" selected="0">
            <x v="103"/>
          </reference>
          <reference field="1" count="1" selected="0">
            <x v="90"/>
          </reference>
          <reference field="2" count="1">
            <x v="73"/>
          </reference>
        </references>
      </pivotArea>
    </format>
    <format dxfId="837">
      <pivotArea dataOnly="0" labelOnly="1" fieldPosition="0">
        <references count="3">
          <reference field="0" count="1" selected="0">
            <x v="104"/>
          </reference>
          <reference field="1" count="1" selected="0">
            <x v="91"/>
          </reference>
          <reference field="2" count="1">
            <x v="68"/>
          </reference>
        </references>
      </pivotArea>
    </format>
    <format dxfId="836">
      <pivotArea dataOnly="0" labelOnly="1" fieldPosition="0">
        <references count="3">
          <reference field="0" count="1" selected="0">
            <x v="105"/>
          </reference>
          <reference field="1" count="1" selected="0">
            <x v="92"/>
          </reference>
          <reference field="2" count="1">
            <x v="134"/>
          </reference>
        </references>
      </pivotArea>
    </format>
    <format dxfId="835">
      <pivotArea dataOnly="0" labelOnly="1" fieldPosition="0">
        <references count="3">
          <reference field="0" count="1" selected="0">
            <x v="106"/>
          </reference>
          <reference field="1" count="1" selected="0">
            <x v="93"/>
          </reference>
          <reference field="2" count="1">
            <x v="76"/>
          </reference>
        </references>
      </pivotArea>
    </format>
    <format dxfId="834">
      <pivotArea dataOnly="0" labelOnly="1" fieldPosition="0">
        <references count="3">
          <reference field="0" count="1" selected="0">
            <x v="107"/>
          </reference>
          <reference field="1" count="1" selected="0">
            <x v="94"/>
          </reference>
          <reference field="2" count="1">
            <x v="190"/>
          </reference>
        </references>
      </pivotArea>
    </format>
    <format dxfId="833">
      <pivotArea dataOnly="0" labelOnly="1" fieldPosition="0">
        <references count="3">
          <reference field="0" count="1" selected="0">
            <x v="108"/>
          </reference>
          <reference field="1" count="1" selected="0">
            <x v="95"/>
          </reference>
          <reference field="2" count="1">
            <x v="236"/>
          </reference>
        </references>
      </pivotArea>
    </format>
    <format dxfId="832">
      <pivotArea dataOnly="0" labelOnly="1" fieldPosition="0">
        <references count="3">
          <reference field="0" count="1" selected="0">
            <x v="110"/>
          </reference>
          <reference field="1" count="1" selected="0">
            <x v="97"/>
          </reference>
          <reference field="2" count="1">
            <x v="123"/>
          </reference>
        </references>
      </pivotArea>
    </format>
    <format dxfId="831">
      <pivotArea dataOnly="0" labelOnly="1" fieldPosition="0">
        <references count="3">
          <reference field="0" count="1" selected="0">
            <x v="111"/>
          </reference>
          <reference field="1" count="1" selected="0">
            <x v="98"/>
          </reference>
          <reference field="2" count="1">
            <x v="83"/>
          </reference>
        </references>
      </pivotArea>
    </format>
    <format dxfId="830">
      <pivotArea dataOnly="0" labelOnly="1" fieldPosition="0">
        <references count="3">
          <reference field="0" count="1" selected="0">
            <x v="113"/>
          </reference>
          <reference field="1" count="1" selected="0">
            <x v="100"/>
          </reference>
          <reference field="2" count="1">
            <x v="124"/>
          </reference>
        </references>
      </pivotArea>
    </format>
    <format dxfId="829">
      <pivotArea dataOnly="0" labelOnly="1" fieldPosition="0">
        <references count="3">
          <reference field="0" count="1" selected="0">
            <x v="121"/>
          </reference>
          <reference field="1" count="1" selected="0">
            <x v="108"/>
          </reference>
          <reference field="2" count="1">
            <x v="207"/>
          </reference>
        </references>
      </pivotArea>
    </format>
    <format dxfId="828">
      <pivotArea dataOnly="0" labelOnly="1" fieldPosition="0">
        <references count="3">
          <reference field="0" count="1" selected="0">
            <x v="122"/>
          </reference>
          <reference field="1" count="1" selected="0">
            <x v="109"/>
          </reference>
          <reference field="2" count="1">
            <x v="35"/>
          </reference>
        </references>
      </pivotArea>
    </format>
    <format dxfId="827">
      <pivotArea dataOnly="0" labelOnly="1" fieldPosition="0">
        <references count="3">
          <reference field="0" count="1" selected="0">
            <x v="123"/>
          </reference>
          <reference field="1" count="1" selected="0">
            <x v="110"/>
          </reference>
          <reference field="2" count="1">
            <x v="176"/>
          </reference>
        </references>
      </pivotArea>
    </format>
    <format dxfId="826">
      <pivotArea dataOnly="0" labelOnly="1" fieldPosition="0">
        <references count="3">
          <reference field="0" count="1" selected="0">
            <x v="124"/>
          </reference>
          <reference field="1" count="1" selected="0">
            <x v="111"/>
          </reference>
          <reference field="2" count="1">
            <x v="218"/>
          </reference>
        </references>
      </pivotArea>
    </format>
    <format dxfId="825">
      <pivotArea dataOnly="0" labelOnly="1" fieldPosition="0">
        <references count="3">
          <reference field="0" count="1" selected="0">
            <x v="125"/>
          </reference>
          <reference field="1" count="1" selected="0">
            <x v="112"/>
          </reference>
          <reference field="2" count="1">
            <x v="197"/>
          </reference>
        </references>
      </pivotArea>
    </format>
    <format dxfId="824">
      <pivotArea dataOnly="0" labelOnly="1" fieldPosition="0">
        <references count="3">
          <reference field="0" count="1" selected="0">
            <x v="126"/>
          </reference>
          <reference field="1" count="1" selected="0">
            <x v="113"/>
          </reference>
          <reference field="2" count="1">
            <x v="191"/>
          </reference>
        </references>
      </pivotArea>
    </format>
    <format dxfId="823">
      <pivotArea dataOnly="0" labelOnly="1" fieldPosition="0">
        <references count="3">
          <reference field="0" count="1" selected="0">
            <x v="127"/>
          </reference>
          <reference field="1" count="1" selected="0">
            <x v="114"/>
          </reference>
          <reference field="2" count="1">
            <x v="174"/>
          </reference>
        </references>
      </pivotArea>
    </format>
    <format dxfId="822">
      <pivotArea dataOnly="0" labelOnly="1" fieldPosition="0">
        <references count="3">
          <reference field="0" count="1" selected="0">
            <x v="128"/>
          </reference>
          <reference field="1" count="1" selected="0">
            <x v="115"/>
          </reference>
          <reference field="2" count="1">
            <x v="59"/>
          </reference>
        </references>
      </pivotArea>
    </format>
    <format dxfId="821">
      <pivotArea dataOnly="0" labelOnly="1" fieldPosition="0">
        <references count="3">
          <reference field="0" count="1" selected="0">
            <x v="129"/>
          </reference>
          <reference field="1" count="1" selected="0">
            <x v="116"/>
          </reference>
          <reference field="2" count="1">
            <x v="212"/>
          </reference>
        </references>
      </pivotArea>
    </format>
    <format dxfId="820">
      <pivotArea dataOnly="0" labelOnly="1" fieldPosition="0">
        <references count="3">
          <reference field="0" count="1" selected="0">
            <x v="130"/>
          </reference>
          <reference field="1" count="1" selected="0">
            <x v="117"/>
          </reference>
          <reference field="2" count="1">
            <x v="118"/>
          </reference>
        </references>
      </pivotArea>
    </format>
    <format dxfId="819">
      <pivotArea dataOnly="0" labelOnly="1" fieldPosition="0">
        <references count="3">
          <reference field="0" count="1" selected="0">
            <x v="134"/>
          </reference>
          <reference field="1" count="1" selected="0">
            <x v="127"/>
          </reference>
          <reference field="2" count="1">
            <x v="2"/>
          </reference>
        </references>
      </pivotArea>
    </format>
    <format dxfId="818">
      <pivotArea dataOnly="0" labelOnly="1" fieldPosition="0">
        <references count="3">
          <reference field="0" count="1" selected="0">
            <x v="135"/>
          </reference>
          <reference field="1" count="1" selected="0">
            <x v="128"/>
          </reference>
          <reference field="2" count="1">
            <x v="151"/>
          </reference>
        </references>
      </pivotArea>
    </format>
    <format dxfId="817">
      <pivotArea dataOnly="0" labelOnly="1" fieldPosition="0">
        <references count="3">
          <reference field="0" count="1" selected="0">
            <x v="136"/>
          </reference>
          <reference field="1" count="1" selected="0">
            <x v="129"/>
          </reference>
          <reference field="2" count="1">
            <x v="219"/>
          </reference>
        </references>
      </pivotArea>
    </format>
    <format dxfId="816">
      <pivotArea dataOnly="0" labelOnly="1" fieldPosition="0">
        <references count="3">
          <reference field="0" count="1" selected="0">
            <x v="144"/>
          </reference>
          <reference field="1" count="1" selected="0">
            <x v="137"/>
          </reference>
          <reference field="2" count="1">
            <x v="79"/>
          </reference>
        </references>
      </pivotArea>
    </format>
    <format dxfId="815">
      <pivotArea dataOnly="0" labelOnly="1" fieldPosition="0">
        <references count="3">
          <reference field="0" count="1" selected="0">
            <x v="146"/>
          </reference>
          <reference field="1" count="1" selected="0">
            <x v="139"/>
          </reference>
          <reference field="2" count="1">
            <x v="30"/>
          </reference>
        </references>
      </pivotArea>
    </format>
    <format dxfId="814">
      <pivotArea dataOnly="0" labelOnly="1" fieldPosition="0">
        <references count="3">
          <reference field="0" count="1" selected="0">
            <x v="147"/>
          </reference>
          <reference field="1" count="1" selected="0">
            <x v="140"/>
          </reference>
          <reference field="2" count="1">
            <x v="211"/>
          </reference>
        </references>
      </pivotArea>
    </format>
    <format dxfId="813">
      <pivotArea dataOnly="0" labelOnly="1" fieldPosition="0">
        <references count="3">
          <reference field="0" count="1" selected="0">
            <x v="148"/>
          </reference>
          <reference field="1" count="1" selected="0">
            <x v="141"/>
          </reference>
          <reference field="2" count="1">
            <x v="95"/>
          </reference>
        </references>
      </pivotArea>
    </format>
    <format dxfId="812">
      <pivotArea dataOnly="0" labelOnly="1" fieldPosition="0">
        <references count="3">
          <reference field="0" count="1" selected="0">
            <x v="149"/>
          </reference>
          <reference field="1" count="1" selected="0">
            <x v="142"/>
          </reference>
          <reference field="2" count="1">
            <x v="165"/>
          </reference>
        </references>
      </pivotArea>
    </format>
    <format dxfId="811">
      <pivotArea dataOnly="0" labelOnly="1" fieldPosition="0">
        <references count="3">
          <reference field="0" count="1" selected="0">
            <x v="150"/>
          </reference>
          <reference field="1" count="1" selected="0">
            <x v="143"/>
          </reference>
          <reference field="2" count="1">
            <x v="166"/>
          </reference>
        </references>
      </pivotArea>
    </format>
    <format dxfId="810">
      <pivotArea dataOnly="0" labelOnly="1" fieldPosition="0">
        <references count="3">
          <reference field="0" count="1" selected="0">
            <x v="151"/>
          </reference>
          <reference field="1" count="1" selected="0">
            <x v="144"/>
          </reference>
          <reference field="2" count="1">
            <x v="85"/>
          </reference>
        </references>
      </pivotArea>
    </format>
    <format dxfId="809">
      <pivotArea dataOnly="0" labelOnly="1" fieldPosition="0">
        <references count="3">
          <reference field="0" count="1" selected="0">
            <x v="152"/>
          </reference>
          <reference field="1" count="1" selected="0">
            <x v="145"/>
          </reference>
          <reference field="2" count="1">
            <x v="86"/>
          </reference>
        </references>
      </pivotArea>
    </format>
    <format dxfId="808">
      <pivotArea dataOnly="0" labelOnly="1" fieldPosition="0">
        <references count="3">
          <reference field="0" count="1" selected="0">
            <x v="153"/>
          </reference>
          <reference field="1" count="1" selected="0">
            <x v="146"/>
          </reference>
          <reference field="2" count="1">
            <x v="54"/>
          </reference>
        </references>
      </pivotArea>
    </format>
    <format dxfId="807">
      <pivotArea dataOnly="0" labelOnly="1" fieldPosition="0">
        <references count="3">
          <reference field="0" count="1" selected="0">
            <x v="154"/>
          </reference>
          <reference field="1" count="1" selected="0">
            <x v="147"/>
          </reference>
          <reference field="2" count="1">
            <x v="109"/>
          </reference>
        </references>
      </pivotArea>
    </format>
    <format dxfId="806">
      <pivotArea dataOnly="0" labelOnly="1" fieldPosition="0">
        <references count="3">
          <reference field="0" count="1" selected="0">
            <x v="155"/>
          </reference>
          <reference field="1" count="1" selected="0">
            <x v="148"/>
          </reference>
          <reference field="2" count="1">
            <x v="3"/>
          </reference>
        </references>
      </pivotArea>
    </format>
    <format dxfId="805">
      <pivotArea dataOnly="0" labelOnly="1" fieldPosition="0">
        <references count="3">
          <reference field="0" count="1" selected="0">
            <x v="159"/>
          </reference>
          <reference field="1" count="1" selected="0">
            <x v="183"/>
          </reference>
          <reference field="2" count="1">
            <x v="122"/>
          </reference>
        </references>
      </pivotArea>
    </format>
    <format dxfId="804">
      <pivotArea dataOnly="0" labelOnly="1" fieldPosition="0">
        <references count="3">
          <reference field="0" count="1" selected="0">
            <x v="160"/>
          </reference>
          <reference field="1" count="1" selected="0">
            <x v="184"/>
          </reference>
          <reference field="2" count="1">
            <x v="187"/>
          </reference>
        </references>
      </pivotArea>
    </format>
    <format dxfId="803">
      <pivotArea dataOnly="0" labelOnly="1" fieldPosition="0">
        <references count="3">
          <reference field="0" count="1" selected="0">
            <x v="161"/>
          </reference>
          <reference field="1" count="1" selected="0">
            <x v="185"/>
          </reference>
          <reference field="2" count="1">
            <x v="186"/>
          </reference>
        </references>
      </pivotArea>
    </format>
    <format dxfId="802">
      <pivotArea dataOnly="0" labelOnly="1" fieldPosition="0">
        <references count="3">
          <reference field="0" count="1" selected="0">
            <x v="162"/>
          </reference>
          <reference field="1" count="1" selected="0">
            <x v="186"/>
          </reference>
          <reference field="2" count="1">
            <x v="125"/>
          </reference>
        </references>
      </pivotArea>
    </format>
    <format dxfId="801">
      <pivotArea dataOnly="0" labelOnly="1" fieldPosition="0">
        <references count="3">
          <reference field="0" count="1" selected="0">
            <x v="164"/>
          </reference>
          <reference field="1" count="1" selected="0">
            <x v="188"/>
          </reference>
          <reference field="2" count="1">
            <x v="119"/>
          </reference>
        </references>
      </pivotArea>
    </format>
    <format dxfId="800">
      <pivotArea dataOnly="0" labelOnly="1" fieldPosition="0">
        <references count="3">
          <reference field="0" count="1" selected="0">
            <x v="165"/>
          </reference>
          <reference field="1" count="1" selected="0">
            <x v="189"/>
          </reference>
          <reference field="2" count="1">
            <x v="156"/>
          </reference>
        </references>
      </pivotArea>
    </format>
    <format dxfId="799">
      <pivotArea dataOnly="0" labelOnly="1" fieldPosition="0">
        <references count="3">
          <reference field="0" count="1" selected="0">
            <x v="166"/>
          </reference>
          <reference field="1" count="1" selected="0">
            <x v="190"/>
          </reference>
          <reference field="2" count="1">
            <x v="213"/>
          </reference>
        </references>
      </pivotArea>
    </format>
    <format dxfId="798">
      <pivotArea dataOnly="0" labelOnly="1" fieldPosition="0">
        <references count="3">
          <reference field="0" count="1" selected="0">
            <x v="167"/>
          </reference>
          <reference field="1" count="1" selected="0">
            <x v="199"/>
          </reference>
          <reference field="2" count="1">
            <x v="56"/>
          </reference>
        </references>
      </pivotArea>
    </format>
    <format dxfId="797">
      <pivotArea dataOnly="0" labelOnly="1" fieldPosition="0">
        <references count="3">
          <reference field="0" count="1" selected="0">
            <x v="168"/>
          </reference>
          <reference field="1" count="1" selected="0">
            <x v="200"/>
          </reference>
          <reference field="2" count="1">
            <x v="9"/>
          </reference>
        </references>
      </pivotArea>
    </format>
    <format dxfId="796">
      <pivotArea dataOnly="0" labelOnly="1" fieldPosition="0">
        <references count="3">
          <reference field="0" count="1" selected="0">
            <x v="171"/>
          </reference>
          <reference field="1" count="1" selected="0">
            <x v="203"/>
          </reference>
          <reference field="2" count="1">
            <x v="10"/>
          </reference>
        </references>
      </pivotArea>
    </format>
    <format dxfId="795">
      <pivotArea dataOnly="0" labelOnly="1" fieldPosition="0">
        <references count="3">
          <reference field="0" count="1" selected="0">
            <x v="172"/>
          </reference>
          <reference field="1" count="1" selected="0">
            <x v="204"/>
          </reference>
          <reference field="2" count="1">
            <x v="216"/>
          </reference>
        </references>
      </pivotArea>
    </format>
    <format dxfId="794">
      <pivotArea dataOnly="0" labelOnly="1" fieldPosition="0">
        <references count="3">
          <reference field="0" count="1" selected="0">
            <x v="173"/>
          </reference>
          <reference field="1" count="1" selected="0">
            <x v="205"/>
          </reference>
          <reference field="2" count="1">
            <x v="94"/>
          </reference>
        </references>
      </pivotArea>
    </format>
    <format dxfId="793">
      <pivotArea dataOnly="0" labelOnly="1" fieldPosition="0">
        <references count="3">
          <reference field="0" count="1" selected="0">
            <x v="175"/>
          </reference>
          <reference field="1" count="1" selected="0">
            <x v="207"/>
          </reference>
          <reference field="2" count="1">
            <x v="172"/>
          </reference>
        </references>
      </pivotArea>
    </format>
    <format dxfId="792">
      <pivotArea dataOnly="0" labelOnly="1" fieldPosition="0">
        <references count="3">
          <reference field="0" count="1" selected="0">
            <x v="176"/>
          </reference>
          <reference field="1" count="1" selected="0">
            <x v="208"/>
          </reference>
          <reference field="2" count="1">
            <x v="215"/>
          </reference>
        </references>
      </pivotArea>
    </format>
    <format dxfId="791">
      <pivotArea dataOnly="0" labelOnly="1" fieldPosition="0">
        <references count="3">
          <reference field="0" count="1" selected="0">
            <x v="177"/>
          </reference>
          <reference field="1" count="1" selected="0">
            <x v="209"/>
          </reference>
          <reference field="2" count="1">
            <x v="114"/>
          </reference>
        </references>
      </pivotArea>
    </format>
    <format dxfId="790">
      <pivotArea dataOnly="0" labelOnly="1" fieldPosition="0">
        <references count="3">
          <reference field="0" count="1" selected="0">
            <x v="178"/>
          </reference>
          <reference field="1" count="1" selected="0">
            <x v="210"/>
          </reference>
          <reference field="2" count="1">
            <x v="11"/>
          </reference>
        </references>
      </pivotArea>
    </format>
    <format dxfId="789">
      <pivotArea dataOnly="0" labelOnly="1" fieldPosition="0">
        <references count="3">
          <reference field="0" count="1" selected="0">
            <x v="179"/>
          </reference>
          <reference field="1" count="1" selected="0">
            <x v="211"/>
          </reference>
          <reference field="2" count="1">
            <x v="96"/>
          </reference>
        </references>
      </pivotArea>
    </format>
    <format dxfId="788">
      <pivotArea dataOnly="0" labelOnly="1" fieldPosition="0">
        <references count="3">
          <reference field="0" count="1" selected="0">
            <x v="180"/>
          </reference>
          <reference field="1" count="1" selected="0">
            <x v="212"/>
          </reference>
          <reference field="2" count="1">
            <x v="97"/>
          </reference>
        </references>
      </pivotArea>
    </format>
    <format dxfId="787">
      <pivotArea dataOnly="0" labelOnly="1" fieldPosition="0">
        <references count="3">
          <reference field="0" count="1" selected="0">
            <x v="181"/>
          </reference>
          <reference field="1" count="1" selected="0">
            <x v="213"/>
          </reference>
          <reference field="2" count="1">
            <x v="234"/>
          </reference>
        </references>
      </pivotArea>
    </format>
    <format dxfId="786">
      <pivotArea dataOnly="0" labelOnly="1" fieldPosition="0">
        <references count="3">
          <reference field="0" count="1" selected="0">
            <x v="182"/>
          </reference>
          <reference field="1" count="1" selected="0">
            <x v="214"/>
          </reference>
          <reference field="2" count="1">
            <x v="235"/>
          </reference>
        </references>
      </pivotArea>
    </format>
    <format dxfId="785">
      <pivotArea dataOnly="0" labelOnly="1" fieldPosition="0">
        <references count="3">
          <reference field="0" count="1" selected="0">
            <x v="183"/>
          </reference>
          <reference field="1" count="1" selected="0">
            <x v="215"/>
          </reference>
          <reference field="2" count="1">
            <x v="206"/>
          </reference>
        </references>
      </pivotArea>
    </format>
    <format dxfId="784">
      <pivotArea dataOnly="0" labelOnly="1" fieldPosition="0">
        <references count="3">
          <reference field="0" count="1" selected="0">
            <x v="184"/>
          </reference>
          <reference field="1" count="1" selected="0">
            <x v="216"/>
          </reference>
          <reference field="2" count="1">
            <x v="111"/>
          </reference>
        </references>
      </pivotArea>
    </format>
    <format dxfId="783">
      <pivotArea dataOnly="0" labelOnly="1" fieldPosition="0">
        <references count="3">
          <reference field="0" count="1" selected="0">
            <x v="185"/>
          </reference>
          <reference field="1" count="1" selected="0">
            <x v="217"/>
          </reference>
          <reference field="2" count="1">
            <x v="113"/>
          </reference>
        </references>
      </pivotArea>
    </format>
    <format dxfId="782">
      <pivotArea dataOnly="0" labelOnly="1" fieldPosition="0">
        <references count="3">
          <reference field="0" count="1" selected="0">
            <x v="186"/>
          </reference>
          <reference field="1" count="1" selected="0">
            <x v="218"/>
          </reference>
          <reference field="2" count="1">
            <x v="93"/>
          </reference>
        </references>
      </pivotArea>
    </format>
    <format dxfId="781">
      <pivotArea dataOnly="0" labelOnly="1" fieldPosition="0">
        <references count="3">
          <reference field="0" count="1" selected="0">
            <x v="187"/>
          </reference>
          <reference field="1" count="1" selected="0">
            <x v="219"/>
          </reference>
          <reference field="2" count="1">
            <x v="104"/>
          </reference>
        </references>
      </pivotArea>
    </format>
    <format dxfId="780">
      <pivotArea dataOnly="0" labelOnly="1" fieldPosition="0">
        <references count="3">
          <reference field="0" count="1" selected="0">
            <x v="188"/>
          </reference>
          <reference field="1" count="1" selected="0">
            <x v="220"/>
          </reference>
          <reference field="2" count="1">
            <x v="196"/>
          </reference>
        </references>
      </pivotArea>
    </format>
    <format dxfId="779">
      <pivotArea dataOnly="0" labelOnly="1" fieldPosition="0">
        <references count="3">
          <reference field="0" count="1" selected="0">
            <x v="189"/>
          </reference>
          <reference field="1" count="1" selected="0">
            <x v="221"/>
          </reference>
          <reference field="2" count="1">
            <x v="182"/>
          </reference>
        </references>
      </pivotArea>
    </format>
    <format dxfId="778">
      <pivotArea dataOnly="0" labelOnly="1" fieldPosition="0">
        <references count="3">
          <reference field="0" count="1" selected="0">
            <x v="192"/>
          </reference>
          <reference field="1" count="1" selected="0">
            <x v="224"/>
          </reference>
          <reference field="2" count="1">
            <x v="80"/>
          </reference>
        </references>
      </pivotArea>
    </format>
    <format dxfId="777">
      <pivotArea dataOnly="0" labelOnly="1" fieldPosition="0">
        <references count="3">
          <reference field="0" count="1" selected="0">
            <x v="193"/>
          </reference>
          <reference field="1" count="1" selected="0">
            <x v="225"/>
          </reference>
          <reference field="2" count="1">
            <x v="238"/>
          </reference>
        </references>
      </pivotArea>
    </format>
    <format dxfId="776">
      <pivotArea dataOnly="0" labelOnly="1" fieldPosition="0">
        <references count="3">
          <reference field="0" count="1" selected="0">
            <x v="197"/>
          </reference>
          <reference field="1" count="1" selected="0">
            <x v="236"/>
          </reference>
          <reference field="2" count="1">
            <x v="102"/>
          </reference>
        </references>
      </pivotArea>
    </format>
    <format dxfId="775">
      <pivotArea dataOnly="0" labelOnly="1" fieldPosition="0">
        <references count="3">
          <reference field="0" count="1" selected="0">
            <x v="199"/>
          </reference>
          <reference field="1" count="1" selected="0">
            <x v="238"/>
          </reference>
          <reference field="2" count="1">
            <x v="33"/>
          </reference>
        </references>
      </pivotArea>
    </format>
    <format dxfId="774">
      <pivotArea dataOnly="0" labelOnly="1" fieldPosition="0">
        <references count="3">
          <reference field="0" count="1" selected="0">
            <x v="200"/>
          </reference>
          <reference field="1" count="1" selected="0">
            <x v="239"/>
          </reference>
          <reference field="2" count="1">
            <x v="34"/>
          </reference>
        </references>
      </pivotArea>
    </format>
    <format dxfId="773">
      <pivotArea dataOnly="0" labelOnly="1" fieldPosition="0">
        <references count="3">
          <reference field="0" count="1" selected="0">
            <x v="201"/>
          </reference>
          <reference field="1" count="1" selected="0">
            <x v="240"/>
          </reference>
          <reference field="2" count="1">
            <x v="37"/>
          </reference>
        </references>
      </pivotArea>
    </format>
    <format dxfId="772">
      <pivotArea dataOnly="0" labelOnly="1" fieldPosition="0">
        <references count="3">
          <reference field="0" count="1" selected="0">
            <x v="204"/>
          </reference>
          <reference field="1" count="1" selected="0">
            <x v="149"/>
          </reference>
          <reference field="2" count="1">
            <x v="117"/>
          </reference>
        </references>
      </pivotArea>
    </format>
    <format dxfId="771">
      <pivotArea dataOnly="0" labelOnly="1" fieldPosition="0">
        <references count="3">
          <reference field="0" count="1" selected="0">
            <x v="206"/>
          </reference>
          <reference field="1" count="1" selected="0">
            <x v="151"/>
          </reference>
          <reference field="2" count="1">
            <x v="159"/>
          </reference>
        </references>
      </pivotArea>
    </format>
    <format dxfId="770">
      <pivotArea dataOnly="0" labelOnly="1" fieldPosition="0">
        <references count="3">
          <reference field="0" count="1" selected="0">
            <x v="207"/>
          </reference>
          <reference field="1" count="1" selected="0">
            <x v="152"/>
          </reference>
          <reference field="2" count="1">
            <x v="81"/>
          </reference>
        </references>
      </pivotArea>
    </format>
    <format dxfId="769">
      <pivotArea dataOnly="0" labelOnly="1" fieldPosition="0">
        <references count="3">
          <reference field="0" count="1" selected="0">
            <x v="208"/>
          </reference>
          <reference field="1" count="1" selected="0">
            <x v="153"/>
          </reference>
          <reference field="2" count="1">
            <x v="103"/>
          </reference>
        </references>
      </pivotArea>
    </format>
    <format dxfId="768">
      <pivotArea dataOnly="0" labelOnly="1" fieldPosition="0">
        <references count="3">
          <reference field="0" count="1" selected="0">
            <x v="209"/>
          </reference>
          <reference field="1" count="1" selected="0">
            <x v="154"/>
          </reference>
          <reference field="2" count="1">
            <x v="98"/>
          </reference>
        </references>
      </pivotArea>
    </format>
    <format dxfId="767">
      <pivotArea dataOnly="0" labelOnly="1" fieldPosition="0">
        <references count="3">
          <reference field="0" count="1" selected="0">
            <x v="210"/>
          </reference>
          <reference field="1" count="1" selected="0">
            <x v="155"/>
          </reference>
          <reference field="2" count="1">
            <x v="162"/>
          </reference>
        </references>
      </pivotArea>
    </format>
    <format dxfId="766">
      <pivotArea dataOnly="0" labelOnly="1" fieldPosition="0">
        <references count="3">
          <reference field="0" count="1" selected="0">
            <x v="211"/>
          </reference>
          <reference field="1" count="1" selected="0">
            <x v="156"/>
          </reference>
          <reference field="2" count="1">
            <x v="164"/>
          </reference>
        </references>
      </pivotArea>
    </format>
    <format dxfId="765">
      <pivotArea dataOnly="0" labelOnly="1" fieldPosition="0">
        <references count="3">
          <reference field="0" count="1" selected="0">
            <x v="212"/>
          </reference>
          <reference field="1" count="1" selected="0">
            <x v="157"/>
          </reference>
          <reference field="2" count="1">
            <x v="170"/>
          </reference>
        </references>
      </pivotArea>
    </format>
    <format dxfId="764">
      <pivotArea dataOnly="0" labelOnly="1" fieldPosition="0">
        <references count="3">
          <reference field="0" count="1" selected="0">
            <x v="214"/>
          </reference>
          <reference field="1" count="1" selected="0">
            <x v="159"/>
          </reference>
          <reference field="2" count="1">
            <x v="139"/>
          </reference>
        </references>
      </pivotArea>
    </format>
    <format dxfId="763">
      <pivotArea dataOnly="0" labelOnly="1" fieldPosition="0">
        <references count="3">
          <reference field="0" count="1" selected="0">
            <x v="215"/>
          </reference>
          <reference field="1" count="1" selected="0">
            <x v="160"/>
          </reference>
          <reference field="2" count="1">
            <x v="137"/>
          </reference>
        </references>
      </pivotArea>
    </format>
    <format dxfId="762">
      <pivotArea dataOnly="0" labelOnly="1" fieldPosition="0">
        <references count="3">
          <reference field="0" count="1" selected="0">
            <x v="216"/>
          </reference>
          <reference field="1" count="1" selected="0">
            <x v="161"/>
          </reference>
          <reference field="2" count="1">
            <x v="136"/>
          </reference>
        </references>
      </pivotArea>
    </format>
    <format dxfId="761">
      <pivotArea dataOnly="0" labelOnly="1" fieldPosition="0">
        <references count="3">
          <reference field="0" count="1" selected="0">
            <x v="217"/>
          </reference>
          <reference field="1" count="1" selected="0">
            <x v="162"/>
          </reference>
          <reference field="2" count="1">
            <x v="13"/>
          </reference>
        </references>
      </pivotArea>
    </format>
    <format dxfId="760">
      <pivotArea dataOnly="0" labelOnly="1" fieldPosition="0">
        <references count="3">
          <reference field="0" count="1" selected="0">
            <x v="218"/>
          </reference>
          <reference field="1" count="1" selected="0">
            <x v="163"/>
          </reference>
          <reference field="2" count="1">
            <x v="179"/>
          </reference>
        </references>
      </pivotArea>
    </format>
    <format dxfId="759">
      <pivotArea dataOnly="0" labelOnly="1" fieldPosition="0">
        <references count="3">
          <reference field="0" count="1" selected="0">
            <x v="219"/>
          </reference>
          <reference field="1" count="1" selected="0">
            <x v="164"/>
          </reference>
          <reference field="2" count="1">
            <x v="138"/>
          </reference>
        </references>
      </pivotArea>
    </format>
    <format dxfId="758">
      <pivotArea dataOnly="0" labelOnly="1" fieldPosition="0">
        <references count="3">
          <reference field="0" count="1" selected="0">
            <x v="220"/>
          </reference>
          <reference field="1" count="1" selected="0">
            <x v="165"/>
          </reference>
          <reference field="2" count="1">
            <x v="142"/>
          </reference>
        </references>
      </pivotArea>
    </format>
    <format dxfId="757">
      <pivotArea dataOnly="0" labelOnly="1" fieldPosition="0">
        <references count="3">
          <reference field="0" count="1" selected="0">
            <x v="221"/>
          </reference>
          <reference field="1" count="1" selected="0">
            <x v="166"/>
          </reference>
          <reference field="2" count="1">
            <x v="143"/>
          </reference>
        </references>
      </pivotArea>
    </format>
    <format dxfId="756">
      <pivotArea dataOnly="0" labelOnly="1" fieldPosition="0">
        <references count="3">
          <reference field="0" count="1" selected="0">
            <x v="223"/>
          </reference>
          <reference field="1" count="1" selected="0">
            <x v="168"/>
          </reference>
          <reference field="2" count="1">
            <x v="71"/>
          </reference>
        </references>
      </pivotArea>
    </format>
    <format dxfId="755">
      <pivotArea dataOnly="0" labelOnly="1" fieldPosition="0">
        <references count="3">
          <reference field="0" count="1" selected="0">
            <x v="224"/>
          </reference>
          <reference field="1" count="1" selected="0">
            <x v="169"/>
          </reference>
          <reference field="2" count="1">
            <x v="121"/>
          </reference>
        </references>
      </pivotArea>
    </format>
    <format dxfId="754">
      <pivotArea dataOnly="0" labelOnly="1" fieldPosition="0">
        <references count="3">
          <reference field="0" count="1" selected="0">
            <x v="225"/>
          </reference>
          <reference field="1" count="1" selected="0">
            <x v="170"/>
          </reference>
          <reference field="2" count="1">
            <x v="120"/>
          </reference>
        </references>
      </pivotArea>
    </format>
    <format dxfId="753">
      <pivotArea dataOnly="0" labelOnly="1" fieldPosition="0">
        <references count="3">
          <reference field="0" count="1" selected="0">
            <x v="226"/>
          </reference>
          <reference field="1" count="1" selected="0">
            <x v="171"/>
          </reference>
          <reference field="2" count="1">
            <x v="41"/>
          </reference>
        </references>
      </pivotArea>
    </format>
    <format dxfId="752">
      <pivotArea dataOnly="0" labelOnly="1" fieldPosition="0">
        <references count="3">
          <reference field="0" count="1" selected="0">
            <x v="227"/>
          </reference>
          <reference field="1" count="1" selected="0">
            <x v="172"/>
          </reference>
          <reference field="2" count="1">
            <x v="42"/>
          </reference>
        </references>
      </pivotArea>
    </format>
    <format dxfId="751">
      <pivotArea dataOnly="0" labelOnly="1" fieldPosition="0">
        <references count="3">
          <reference field="0" count="1" selected="0">
            <x v="228"/>
          </reference>
          <reference field="1" count="1" selected="0">
            <x v="173"/>
          </reference>
          <reference field="2" count="1">
            <x v="145"/>
          </reference>
        </references>
      </pivotArea>
    </format>
    <format dxfId="750">
      <pivotArea dataOnly="0" labelOnly="1" fieldPosition="0">
        <references count="3">
          <reference field="0" count="1" selected="0">
            <x v="229"/>
          </reference>
          <reference field="1" count="1" selected="0">
            <x v="174"/>
          </reference>
          <reference field="2" count="1">
            <x v="91"/>
          </reference>
        </references>
      </pivotArea>
    </format>
    <format dxfId="749">
      <pivotArea dataOnly="0" labelOnly="1" fieldPosition="0">
        <references count="3">
          <reference field="0" count="1" selected="0">
            <x v="230"/>
          </reference>
          <reference field="1" count="1" selected="0">
            <x v="175"/>
          </reference>
          <reference field="2" count="1">
            <x v="160"/>
          </reference>
        </references>
      </pivotArea>
    </format>
    <format dxfId="748">
      <pivotArea dataOnly="0" labelOnly="1" fieldPosition="0">
        <references count="3">
          <reference field="0" count="1" selected="0">
            <x v="231"/>
          </reference>
          <reference field="1" count="1" selected="0">
            <x v="176"/>
          </reference>
          <reference field="2" count="1">
            <x v="42"/>
          </reference>
        </references>
      </pivotArea>
    </format>
    <format dxfId="747">
      <pivotArea dataOnly="0" labelOnly="1" fieldPosition="0">
        <references count="3">
          <reference field="0" count="1" selected="0">
            <x v="232"/>
          </reference>
          <reference field="1" count="1" selected="0">
            <x v="177"/>
          </reference>
          <reference field="2" count="1">
            <x v="47"/>
          </reference>
        </references>
      </pivotArea>
    </format>
    <format dxfId="746">
      <pivotArea dataOnly="0" labelOnly="1" fieldPosition="0">
        <references count="3">
          <reference field="0" count="1" selected="0">
            <x v="233"/>
          </reference>
          <reference field="1" count="1" selected="0">
            <x v="178"/>
          </reference>
          <reference field="2" count="1">
            <x v="32"/>
          </reference>
        </references>
      </pivotArea>
    </format>
    <format dxfId="745">
      <pivotArea dataOnly="0" labelOnly="1" fieldPosition="0">
        <references count="3">
          <reference field="0" count="1" selected="0">
            <x v="234"/>
          </reference>
          <reference field="1" count="1" selected="0">
            <x v="179"/>
          </reference>
          <reference field="2" count="1">
            <x v="163"/>
          </reference>
        </references>
      </pivotArea>
    </format>
    <format dxfId="744">
      <pivotArea dataOnly="0" labelOnly="1" fieldPosition="0">
        <references count="3">
          <reference field="0" count="1" selected="0">
            <x v="235"/>
          </reference>
          <reference field="1" count="1" selected="0">
            <x v="191"/>
          </reference>
          <reference field="2" count="1">
            <x v="155"/>
          </reference>
        </references>
      </pivotArea>
    </format>
    <format dxfId="743">
      <pivotArea dataOnly="0" labelOnly="1" fieldPosition="0">
        <references count="3">
          <reference field="0" count="1" selected="0">
            <x v="236"/>
          </reference>
          <reference field="1" count="1" selected="0">
            <x v="192"/>
          </reference>
          <reference field="2" count="1">
            <x v="27"/>
          </reference>
        </references>
      </pivotArea>
    </format>
    <format dxfId="742">
      <pivotArea dataOnly="0" labelOnly="1" fieldPosition="0">
        <references count="3">
          <reference field="0" count="1" selected="0">
            <x v="237"/>
          </reference>
          <reference field="1" count="1" selected="0">
            <x v="193"/>
          </reference>
          <reference field="2" count="1">
            <x v="89"/>
          </reference>
        </references>
      </pivotArea>
    </format>
    <format dxfId="741">
      <pivotArea dataOnly="0" labelOnly="1" fieldPosition="0">
        <references count="3">
          <reference field="0" count="1" selected="0">
            <x v="238"/>
          </reference>
          <reference field="1" count="1" selected="0">
            <x v="194"/>
          </reference>
          <reference field="2" count="1">
            <x v="25"/>
          </reference>
        </references>
      </pivotArea>
    </format>
    <format dxfId="740">
      <pivotArea dataOnly="0" labelOnly="1" fieldPosition="0">
        <references count="3">
          <reference field="0" count="1" selected="0">
            <x v="239"/>
          </reference>
          <reference field="1" count="1" selected="0">
            <x v="195"/>
          </reference>
          <reference field="2" count="1">
            <x v="28"/>
          </reference>
        </references>
      </pivotArea>
    </format>
    <format dxfId="739">
      <pivotArea dataOnly="0" labelOnly="1" fieldPosition="0">
        <references count="3">
          <reference field="0" count="1" selected="0">
            <x v="240"/>
          </reference>
          <reference field="1" count="1" selected="0">
            <x v="196"/>
          </reference>
          <reference field="2" count="1">
            <x v="40"/>
          </reference>
        </references>
      </pivotArea>
    </format>
    <format dxfId="738">
      <pivotArea dataOnly="0" labelOnly="1" fieldPosition="0">
        <references count="3">
          <reference field="0" count="1" selected="0">
            <x v="241"/>
          </reference>
          <reference field="1" count="1" selected="0">
            <x v="197"/>
          </reference>
          <reference field="2" count="1">
            <x v="195"/>
          </reference>
        </references>
      </pivotArea>
    </format>
    <format dxfId="737">
      <pivotArea dataOnly="0" labelOnly="1" fieldPosition="0">
        <references count="3">
          <reference field="0" count="1" selected="0">
            <x v="242"/>
          </reference>
          <reference field="1" count="1" selected="0">
            <x v="198"/>
          </reference>
          <reference field="2" count="1">
            <x v="132"/>
          </reference>
        </references>
      </pivotArea>
    </format>
    <format dxfId="73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2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1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69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8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7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6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5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4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3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2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1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0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59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7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6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5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4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3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2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1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0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49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8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7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5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4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3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2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1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0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9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8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7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6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7">
      <pivotArea dataOnly="0" labelOnly="1" outline="0" fieldPosition="0">
        <references count="1">
          <reference field="3" count="0"/>
        </references>
      </pivotArea>
    </format>
    <format dxfId="36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5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4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3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2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1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0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9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8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7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6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5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3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2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9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8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7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6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5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2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1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0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9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8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7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6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5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2429" dataDxfId="2428">
  <tableColumns count="19">
    <tableColumn id="1" xr3:uid="{00000000-0010-0000-0000-000001000000}" name="Column1" headerRowDxfId="2427" dataDxfId="2426"/>
    <tableColumn id="2" xr3:uid="{00000000-0010-0000-0000-000002000000}" name="Column2" headerRowDxfId="2425" dataDxfId="2424"/>
    <tableColumn id="3" xr3:uid="{00000000-0010-0000-0000-000003000000}" name="Column3" headerRowDxfId="2423" dataDxfId="2422">
      <calculatedColumnFormula>VLOOKUP(B2,'HECVAT - Full'!A:E,2,FALSE)</calculatedColumnFormula>
    </tableColumn>
    <tableColumn id="4" xr3:uid="{00000000-0010-0000-0000-000004000000}" name="Column4" headerRowDxfId="2421" dataDxfId="2420">
      <calculatedColumnFormula>VLOOKUP(B2,'HECVAT - Full'!A:E,4,FALSE)</calculatedColumnFormula>
    </tableColumn>
    <tableColumn id="5" xr3:uid="{00000000-0010-0000-0000-000005000000}" name="Column5" headerRowDxfId="2419" dataDxfId="2418"/>
    <tableColumn id="6" xr3:uid="{00000000-0010-0000-0000-000006000000}" name="Column6" headerRowDxfId="2417" dataDxfId="2416"/>
    <tableColumn id="7" xr3:uid="{00000000-0010-0000-0000-000007000000}" name="Column7" headerRowDxfId="2415" dataDxfId="2414"/>
    <tableColumn id="8" xr3:uid="{00000000-0010-0000-0000-000008000000}" name="Column8" headerRowDxfId="2413" dataDxfId="2412"/>
    <tableColumn id="9" xr3:uid="{00000000-0010-0000-0000-000009000000}" name="Column9" headerRowDxfId="2411" dataDxfId="2410">
      <calculatedColumnFormula>VLOOKUP(B2,'HECVAT - Full'!A:E,3,FALSE)</calculatedColumnFormula>
    </tableColumn>
    <tableColumn id="10" xr3:uid="{00000000-0010-0000-0000-00000A000000}" name="Column10" headerRowDxfId="2409" dataDxfId="2408"/>
    <tableColumn id="11" xr3:uid="{00000000-0010-0000-0000-00000B000000}" name="Column11" headerRowDxfId="2407" dataDxfId="2406"/>
    <tableColumn id="12" xr3:uid="{00000000-0010-0000-0000-00000C000000}" name="Column12" headerRowDxfId="2405" dataDxfId="2404">
      <calculatedColumnFormula>J2*K2</calculatedColumnFormula>
    </tableColumn>
    <tableColumn id="13" xr3:uid="{00000000-0010-0000-0000-00000D000000}" name="Column13" headerRowDxfId="2403" dataDxfId="2402">
      <calculatedColumnFormula>VLOOKUP($B2,'Standards Crosswalk'!$A:$H,3,FALSE)</calculatedColumnFormula>
    </tableColumn>
    <tableColumn id="14" xr3:uid="{00000000-0010-0000-0000-00000E000000}" name="Column14" headerRowDxfId="2401" dataDxfId="2400">
      <calculatedColumnFormula>VLOOKUP($B2,'Standards Crosswalk'!$A:$H,4,FALSE)</calculatedColumnFormula>
    </tableColumn>
    <tableColumn id="15" xr3:uid="{00000000-0010-0000-0000-00000F000000}" name="Column15" headerRowDxfId="2399" dataDxfId="2398">
      <calculatedColumnFormula>VLOOKUP($B2,'Standards Crosswalk'!$A:$H,5,FALSE)</calculatedColumnFormula>
    </tableColumn>
    <tableColumn id="16" xr3:uid="{00000000-0010-0000-0000-000010000000}" name="Column16" headerRowDxfId="2397" dataDxfId="2396">
      <calculatedColumnFormula>VLOOKUP($B2,'Standards Crosswalk'!$A:$H,6,FALSE)</calculatedColumnFormula>
    </tableColumn>
    <tableColumn id="17" xr3:uid="{00000000-0010-0000-0000-000011000000}" name="Column17" headerRowDxfId="2395" dataDxfId="2394">
      <calculatedColumnFormula>VLOOKUP($B2,'Standards Crosswalk'!$A:$H,7,FALSE)</calculatedColumnFormula>
    </tableColumn>
    <tableColumn id="18" xr3:uid="{00000000-0010-0000-0000-000012000000}" name="Column18" headerRowDxfId="2393" dataDxfId="2392">
      <calculatedColumnFormula>VLOOKUP($B2,'Standards Crosswalk'!$A:$H,8,FALSE)</calculatedColumnFormula>
    </tableColumn>
    <tableColumn id="25" xr3:uid="{00000000-0010-0000-0000-000019000000}" name="Column25" headerRowDxfId="2391" dataDxfId="239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en@pronto.io" TargetMode="External"/><Relationship Id="rId1" Type="http://schemas.openxmlformats.org/officeDocument/2006/relationships/hyperlink" Target="https://pronto.io/privac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baseColWidth="10" defaultColWidth="6.625" defaultRowHeight="13" x14ac:dyDescent="0.15"/>
  <cols>
    <col min="1" max="1" width="30.625" style="193" customWidth="1"/>
    <col min="2" max="2" width="60.625" style="193" customWidth="1"/>
    <col min="3" max="16384" width="6.625" style="193"/>
  </cols>
  <sheetData>
    <row r="1" spans="1:2" ht="42" customHeight="1" x14ac:dyDescent="0.15">
      <c r="A1" s="284"/>
      <c r="B1" s="285"/>
    </row>
    <row r="2" spans="1:2" x14ac:dyDescent="0.15">
      <c r="A2" s="194"/>
      <c r="B2" s="195"/>
    </row>
    <row r="3" spans="1:2" x14ac:dyDescent="0.15">
      <c r="A3" s="194"/>
      <c r="B3" s="195"/>
    </row>
    <row r="4" spans="1:2" x14ac:dyDescent="0.15">
      <c r="A4" s="194"/>
      <c r="B4" s="195"/>
    </row>
    <row r="5" spans="1:2" x14ac:dyDescent="0.15">
      <c r="A5" s="194"/>
      <c r="B5" s="195"/>
    </row>
    <row r="6" spans="1:2" x14ac:dyDescent="0.15">
      <c r="A6" s="194"/>
      <c r="B6" s="195"/>
    </row>
    <row r="7" spans="1:2" x14ac:dyDescent="0.15">
      <c r="A7" s="194"/>
      <c r="B7" s="195"/>
    </row>
    <row r="8" spans="1:2" x14ac:dyDescent="0.15">
      <c r="A8" s="194"/>
      <c r="B8" s="195"/>
    </row>
    <row r="9" spans="1:2" x14ac:dyDescent="0.15">
      <c r="A9" s="194"/>
      <c r="B9" s="195"/>
    </row>
    <row r="10" spans="1:2" x14ac:dyDescent="0.15">
      <c r="A10" s="194"/>
      <c r="B10" s="195"/>
    </row>
    <row r="11" spans="1:2" x14ac:dyDescent="0.15">
      <c r="A11" s="194"/>
      <c r="B11" s="195"/>
    </row>
    <row r="12" spans="1:2" x14ac:dyDescent="0.15">
      <c r="A12" s="194"/>
      <c r="B12" s="195"/>
    </row>
    <row r="13" spans="1:2" x14ac:dyDescent="0.15">
      <c r="A13" s="194"/>
      <c r="B13" s="195"/>
    </row>
    <row r="14" spans="1:2" x14ac:dyDescent="0.15">
      <c r="A14" s="194"/>
      <c r="B14" s="195"/>
    </row>
    <row r="15" spans="1:2" x14ac:dyDescent="0.15">
      <c r="A15" s="194"/>
      <c r="B15" s="195"/>
    </row>
    <row r="16" spans="1:2" x14ac:dyDescent="0.15">
      <c r="A16" s="194"/>
      <c r="B16" s="195"/>
    </row>
    <row r="17" spans="1:2" x14ac:dyDescent="0.15">
      <c r="A17" s="194"/>
      <c r="B17" s="195"/>
    </row>
    <row r="18" spans="1:2" x14ac:dyDescent="0.15">
      <c r="A18" s="194"/>
      <c r="B18" s="195"/>
    </row>
    <row r="19" spans="1:2" x14ac:dyDescent="0.15">
      <c r="A19" s="194"/>
      <c r="B19" s="195"/>
    </row>
    <row r="20" spans="1:2" x14ac:dyDescent="0.15">
      <c r="A20" s="194"/>
      <c r="B20" s="195"/>
    </row>
    <row r="21" spans="1:2" x14ac:dyDescent="0.15">
      <c r="A21" s="194"/>
      <c r="B21" s="195"/>
    </row>
    <row r="22" spans="1:2" x14ac:dyDescent="0.15">
      <c r="A22" s="194"/>
      <c r="B22" s="195"/>
    </row>
    <row r="23" spans="1:2" x14ac:dyDescent="0.15">
      <c r="A23" s="194"/>
      <c r="B23" s="195"/>
    </row>
    <row r="24" spans="1:2" x14ac:dyDescent="0.15">
      <c r="A24" s="194"/>
      <c r="B24" s="195"/>
    </row>
    <row r="25" spans="1:2" x14ac:dyDescent="0.15">
      <c r="A25" s="194"/>
      <c r="B25" s="195"/>
    </row>
    <row r="26" spans="1:2" x14ac:dyDescent="0.15">
      <c r="A26" s="194"/>
      <c r="B26" s="195"/>
    </row>
    <row r="27" spans="1:2" x14ac:dyDescent="0.15">
      <c r="A27" s="194"/>
      <c r="B27" s="195"/>
    </row>
    <row r="28" spans="1:2" x14ac:dyDescent="0.15">
      <c r="A28" s="194"/>
      <c r="B28" s="195"/>
    </row>
    <row r="29" spans="1:2" x14ac:dyDescent="0.15">
      <c r="A29" s="194"/>
      <c r="B29" s="195"/>
    </row>
    <row r="30" spans="1:2" x14ac:dyDescent="0.15">
      <c r="A30" s="194"/>
      <c r="B30" s="195"/>
    </row>
    <row r="31" spans="1:2" x14ac:dyDescent="0.15">
      <c r="A31" s="194"/>
      <c r="B31" s="195"/>
    </row>
    <row r="32" spans="1:2" x14ac:dyDescent="0.15">
      <c r="A32" s="194"/>
      <c r="B32" s="195"/>
    </row>
    <row r="33" spans="1:2" x14ac:dyDescent="0.15">
      <c r="A33" s="194"/>
      <c r="B33" s="195"/>
    </row>
    <row r="34" spans="1:2" x14ac:dyDescent="0.15">
      <c r="A34" s="194"/>
      <c r="B34" s="195"/>
    </row>
    <row r="35" spans="1:2" x14ac:dyDescent="0.15">
      <c r="A35" s="194"/>
      <c r="B35" s="195"/>
    </row>
    <row r="36" spans="1:2" x14ac:dyDescent="0.15">
      <c r="A36" s="194"/>
      <c r="B36" s="195"/>
    </row>
    <row r="37" spans="1:2" x14ac:dyDescent="0.15">
      <c r="A37" s="194"/>
      <c r="B37" s="195"/>
    </row>
    <row r="38" spans="1:2" x14ac:dyDescent="0.15">
      <c r="A38" s="194"/>
      <c r="B38" s="195"/>
    </row>
    <row r="39" spans="1:2" x14ac:dyDescent="0.15">
      <c r="A39" s="194"/>
      <c r="B39" s="195"/>
    </row>
    <row r="40" spans="1:2" x14ac:dyDescent="0.15">
      <c r="A40" s="194"/>
      <c r="B40" s="195"/>
    </row>
    <row r="41" spans="1:2" x14ac:dyDescent="0.15">
      <c r="A41" s="194"/>
      <c r="B41" s="195"/>
    </row>
    <row r="42" spans="1:2" x14ac:dyDescent="0.15">
      <c r="A42" s="194"/>
      <c r="B42" s="195"/>
    </row>
    <row r="43" spans="1:2" x14ac:dyDescent="0.15">
      <c r="A43" s="194"/>
      <c r="B43" s="195"/>
    </row>
    <row r="44" spans="1:2" x14ac:dyDescent="0.15">
      <c r="A44" s="194"/>
      <c r="B44" s="195"/>
    </row>
    <row r="45" spans="1:2" x14ac:dyDescent="0.15">
      <c r="A45" s="194"/>
      <c r="B45" s="195"/>
    </row>
    <row r="46" spans="1:2" x14ac:dyDescent="0.15">
      <c r="A46" s="194"/>
      <c r="B46" s="195"/>
    </row>
    <row r="47" spans="1:2" x14ac:dyDescent="0.15">
      <c r="A47" s="194"/>
      <c r="B47" s="195"/>
    </row>
    <row r="48" spans="1:2" x14ac:dyDescent="0.15">
      <c r="A48" s="194"/>
      <c r="B48" s="195"/>
    </row>
    <row r="49" spans="1:2" x14ac:dyDescent="0.15">
      <c r="A49" s="194"/>
      <c r="B49" s="195"/>
    </row>
    <row r="50" spans="1:2" x14ac:dyDescent="0.15">
      <c r="A50" s="194"/>
      <c r="B50" s="195"/>
    </row>
    <row r="51" spans="1:2" x14ac:dyDescent="0.15">
      <c r="A51" s="194"/>
      <c r="B51" s="195"/>
    </row>
    <row r="52" spans="1:2" x14ac:dyDescent="0.15">
      <c r="A52" s="194"/>
      <c r="B52" s="195"/>
    </row>
    <row r="53" spans="1:2" x14ac:dyDescent="0.15">
      <c r="A53" s="194"/>
      <c r="B53" s="195"/>
    </row>
    <row r="54" spans="1:2" ht="45" customHeight="1" x14ac:dyDescent="0.15">
      <c r="A54" s="196"/>
      <c r="B54" s="197"/>
    </row>
    <row r="55" spans="1:2" ht="36" customHeight="1" x14ac:dyDescent="0.15">
      <c r="A55" s="286" t="s">
        <v>2628</v>
      </c>
      <c r="B55" s="286"/>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baseColWidth="10" defaultColWidth="8.625" defaultRowHeight="12" x14ac:dyDescent="0.2"/>
  <cols>
    <col min="1" max="1" width="10.125" style="93" bestFit="1" customWidth="1"/>
    <col min="2" max="2" width="8.5" style="93" customWidth="1"/>
    <col min="3" max="3" width="26.75" style="93" bestFit="1" customWidth="1"/>
    <col min="4" max="4" width="12.25" style="93" bestFit="1" customWidth="1"/>
    <col min="5" max="5" width="7.25" style="93" bestFit="1" customWidth="1"/>
    <col min="6" max="6" width="9.375" style="93" bestFit="1" customWidth="1"/>
    <col min="7" max="7" width="12" style="93" bestFit="1" customWidth="1"/>
    <col min="8" max="8" width="15.5" style="93" bestFit="1" customWidth="1"/>
    <col min="9" max="9" width="11.75" style="93" bestFit="1" customWidth="1"/>
    <col min="10" max="10" width="13.875" style="93" bestFit="1" customWidth="1"/>
    <col min="11" max="11" width="8.125" style="93" customWidth="1"/>
    <col min="12" max="16384" width="8.625" style="93"/>
  </cols>
  <sheetData>
    <row r="1" spans="1:12" ht="16" x14ac:dyDescent="0.2">
      <c r="A1" s="225" t="s">
        <v>2027</v>
      </c>
      <c r="B1" s="93" t="s">
        <v>2086</v>
      </c>
      <c r="L1"/>
    </row>
    <row r="2" spans="1:12" ht="16" x14ac:dyDescent="0.2">
      <c r="A2" s="225" t="s">
        <v>2055</v>
      </c>
      <c r="B2" s="226">
        <v>0</v>
      </c>
      <c r="L2"/>
    </row>
    <row r="3" spans="1:12" ht="16" x14ac:dyDescent="0.2">
      <c r="L3"/>
    </row>
    <row r="4" spans="1:12" ht="26" x14ac:dyDescent="0.2">
      <c r="A4" s="225" t="s">
        <v>2085</v>
      </c>
      <c r="B4" s="225" t="s">
        <v>2024</v>
      </c>
      <c r="C4" s="225" t="s">
        <v>2025</v>
      </c>
      <c r="D4" s="225" t="s">
        <v>2026</v>
      </c>
      <c r="E4" s="225" t="s">
        <v>2083</v>
      </c>
      <c r="F4" s="225" t="s">
        <v>561</v>
      </c>
      <c r="G4" s="225" t="s">
        <v>2084</v>
      </c>
      <c r="H4" s="225" t="s">
        <v>564</v>
      </c>
      <c r="I4" s="225" t="s">
        <v>563</v>
      </c>
      <c r="J4" s="225" t="s">
        <v>562</v>
      </c>
      <c r="K4" s="225" t="s">
        <v>2044</v>
      </c>
      <c r="L4"/>
    </row>
    <row r="5" spans="1:12" ht="39" x14ac:dyDescent="0.2">
      <c r="A5" s="226">
        <v>11</v>
      </c>
      <c r="B5" s="226" t="s">
        <v>173</v>
      </c>
      <c r="C5" s="226" t="s">
        <v>2629</v>
      </c>
      <c r="D5" s="227">
        <v>0</v>
      </c>
      <c r="E5" s="226">
        <v>0</v>
      </c>
      <c r="F5" s="226">
        <v>0</v>
      </c>
      <c r="G5" s="226" t="s">
        <v>615</v>
      </c>
      <c r="H5" s="226">
        <v>0</v>
      </c>
      <c r="I5" s="226">
        <v>0</v>
      </c>
      <c r="J5" s="226" t="s">
        <v>821</v>
      </c>
      <c r="K5" s="226" t="s">
        <v>2106</v>
      </c>
      <c r="L5"/>
    </row>
    <row r="6" spans="1:12" ht="26" x14ac:dyDescent="0.2">
      <c r="A6" s="226">
        <v>13</v>
      </c>
      <c r="B6" s="226" t="s">
        <v>175</v>
      </c>
      <c r="C6" s="226" t="s">
        <v>469</v>
      </c>
      <c r="D6" s="227">
        <v>0</v>
      </c>
      <c r="E6" s="226">
        <v>0</v>
      </c>
      <c r="F6" s="227" t="s">
        <v>598</v>
      </c>
      <c r="G6" s="227" t="s">
        <v>618</v>
      </c>
      <c r="H6" s="227" t="s">
        <v>696</v>
      </c>
      <c r="I6" s="227" t="s">
        <v>696</v>
      </c>
      <c r="J6" s="226" t="s">
        <v>821</v>
      </c>
      <c r="K6" s="226">
        <v>0</v>
      </c>
      <c r="L6"/>
    </row>
    <row r="7" spans="1:12" ht="117" x14ac:dyDescent="0.2">
      <c r="A7" s="226">
        <v>14</v>
      </c>
      <c r="B7" s="226" t="s">
        <v>182</v>
      </c>
      <c r="C7" s="226" t="s">
        <v>129</v>
      </c>
      <c r="D7" s="227">
        <v>0</v>
      </c>
      <c r="E7" s="226" t="s">
        <v>567</v>
      </c>
      <c r="F7" s="226">
        <v>0</v>
      </c>
      <c r="G7" s="226" t="s">
        <v>621</v>
      </c>
      <c r="H7" s="226" t="s">
        <v>767</v>
      </c>
      <c r="I7" s="226" t="s">
        <v>699</v>
      </c>
      <c r="J7" s="226" t="s">
        <v>824</v>
      </c>
      <c r="K7" s="226">
        <v>12.8</v>
      </c>
      <c r="L7"/>
    </row>
    <row r="8" spans="1:12" ht="39" x14ac:dyDescent="0.2">
      <c r="A8" s="226">
        <v>15</v>
      </c>
      <c r="B8" s="226" t="s">
        <v>183</v>
      </c>
      <c r="C8" s="226" t="s">
        <v>515</v>
      </c>
      <c r="D8" s="227">
        <v>0</v>
      </c>
      <c r="E8" s="226" t="s">
        <v>567</v>
      </c>
      <c r="F8" s="226">
        <v>0</v>
      </c>
      <c r="G8" s="226" t="s">
        <v>621</v>
      </c>
      <c r="H8" s="226" t="s">
        <v>767</v>
      </c>
      <c r="I8" s="226" t="s">
        <v>699</v>
      </c>
      <c r="J8" s="226">
        <v>0</v>
      </c>
      <c r="K8" s="226">
        <v>12.8</v>
      </c>
      <c r="L8"/>
    </row>
    <row r="9" spans="1:12" ht="52" x14ac:dyDescent="0.2">
      <c r="A9" s="226">
        <v>16</v>
      </c>
      <c r="B9" s="226" t="s">
        <v>184</v>
      </c>
      <c r="C9" s="226" t="s">
        <v>20</v>
      </c>
      <c r="D9" s="227">
        <v>0</v>
      </c>
      <c r="E9" s="226" t="s">
        <v>567</v>
      </c>
      <c r="F9" s="226">
        <v>0</v>
      </c>
      <c r="G9" s="226" t="s">
        <v>621</v>
      </c>
      <c r="H9" s="226" t="s">
        <v>696</v>
      </c>
      <c r="I9" s="226">
        <v>0</v>
      </c>
      <c r="J9" s="226" t="s">
        <v>825</v>
      </c>
      <c r="K9" s="226">
        <v>12.8</v>
      </c>
      <c r="L9"/>
    </row>
    <row r="10" spans="1:12" ht="65" x14ac:dyDescent="0.2">
      <c r="A10" s="226">
        <v>17</v>
      </c>
      <c r="B10" s="226" t="s">
        <v>428</v>
      </c>
      <c r="C10" s="226" t="s">
        <v>440</v>
      </c>
      <c r="D10" s="227">
        <v>0</v>
      </c>
      <c r="E10" s="226">
        <v>0</v>
      </c>
      <c r="F10" s="226">
        <v>0</v>
      </c>
      <c r="G10" s="226" t="s">
        <v>621</v>
      </c>
      <c r="H10" s="226" t="s">
        <v>697</v>
      </c>
      <c r="I10" s="226">
        <v>0</v>
      </c>
      <c r="J10" s="226" t="s">
        <v>826</v>
      </c>
      <c r="K10" s="226">
        <v>12.8</v>
      </c>
      <c r="L10"/>
    </row>
    <row r="11" spans="1:12" ht="26" x14ac:dyDescent="0.2">
      <c r="A11" s="226">
        <v>20</v>
      </c>
      <c r="B11" s="226" t="s">
        <v>187</v>
      </c>
      <c r="C11" s="226" t="s">
        <v>535</v>
      </c>
      <c r="D11" s="227">
        <v>0</v>
      </c>
      <c r="E11" s="226" t="s">
        <v>570</v>
      </c>
      <c r="F11" s="226">
        <v>0</v>
      </c>
      <c r="G11" s="226" t="s">
        <v>623</v>
      </c>
      <c r="H11" s="226" t="s">
        <v>697</v>
      </c>
      <c r="I11" s="226" t="s">
        <v>701</v>
      </c>
      <c r="J11" s="226">
        <v>0</v>
      </c>
      <c r="K11" s="226">
        <v>0</v>
      </c>
      <c r="L11"/>
    </row>
    <row r="12" spans="1:12" ht="26" x14ac:dyDescent="0.2">
      <c r="A12" s="226">
        <v>23</v>
      </c>
      <c r="B12" s="226" t="s">
        <v>190</v>
      </c>
      <c r="C12" s="226" t="s">
        <v>470</v>
      </c>
      <c r="D12" s="227">
        <v>0</v>
      </c>
      <c r="E12" s="226" t="s">
        <v>567</v>
      </c>
      <c r="F12" s="226">
        <v>0</v>
      </c>
      <c r="G12" s="226" t="s">
        <v>636</v>
      </c>
      <c r="H12" s="226" t="s">
        <v>697</v>
      </c>
      <c r="I12" s="226" t="s">
        <v>699</v>
      </c>
      <c r="J12" s="226" t="s">
        <v>828</v>
      </c>
      <c r="K12" s="226">
        <v>0</v>
      </c>
      <c r="L12"/>
    </row>
    <row r="13" spans="1:12" ht="26" x14ac:dyDescent="0.2">
      <c r="A13" s="226">
        <v>25</v>
      </c>
      <c r="B13" s="226" t="s">
        <v>192</v>
      </c>
      <c r="C13" s="226" t="s">
        <v>537</v>
      </c>
      <c r="D13" s="227">
        <v>0</v>
      </c>
      <c r="E13" s="226" t="s">
        <v>570</v>
      </c>
      <c r="F13" s="226">
        <v>0</v>
      </c>
      <c r="G13" s="226" t="s">
        <v>636</v>
      </c>
      <c r="H13" s="226" t="s">
        <v>697</v>
      </c>
      <c r="I13" s="226">
        <v>0</v>
      </c>
      <c r="J13" s="226">
        <v>0</v>
      </c>
      <c r="K13" s="226">
        <v>0</v>
      </c>
      <c r="L13"/>
    </row>
    <row r="14" spans="1:12" ht="26" x14ac:dyDescent="0.2">
      <c r="A14" s="226">
        <v>27</v>
      </c>
      <c r="B14" s="226" t="s">
        <v>194</v>
      </c>
      <c r="C14" s="226" t="s">
        <v>895</v>
      </c>
      <c r="D14" s="227">
        <v>0</v>
      </c>
      <c r="E14" s="226" t="s">
        <v>568</v>
      </c>
      <c r="F14" s="226">
        <v>0</v>
      </c>
      <c r="G14" s="226">
        <v>0</v>
      </c>
      <c r="H14" s="226" t="s">
        <v>768</v>
      </c>
      <c r="I14" s="226">
        <v>0</v>
      </c>
      <c r="J14" s="226">
        <v>0</v>
      </c>
      <c r="K14" s="226">
        <v>0</v>
      </c>
      <c r="L14"/>
    </row>
    <row r="15" spans="1:12" ht="26" x14ac:dyDescent="0.2">
      <c r="A15" s="226">
        <v>28</v>
      </c>
      <c r="B15" s="226" t="s">
        <v>195</v>
      </c>
      <c r="C15" s="226" t="s">
        <v>896</v>
      </c>
      <c r="D15" s="227">
        <v>0</v>
      </c>
      <c r="E15" s="226" t="s">
        <v>577</v>
      </c>
      <c r="F15" s="226">
        <v>0</v>
      </c>
      <c r="G15" s="226" t="s">
        <v>624</v>
      </c>
      <c r="H15" s="226" t="s">
        <v>768</v>
      </c>
      <c r="I15" s="226">
        <v>0</v>
      </c>
      <c r="J15" s="226">
        <v>0</v>
      </c>
      <c r="K15" s="226">
        <v>0</v>
      </c>
      <c r="L15"/>
    </row>
    <row r="16" spans="1:12" ht="65" x14ac:dyDescent="0.2">
      <c r="A16" s="226">
        <v>32</v>
      </c>
      <c r="B16" s="226" t="s">
        <v>198</v>
      </c>
      <c r="C16" s="226" t="s">
        <v>899</v>
      </c>
      <c r="D16" s="227">
        <v>0</v>
      </c>
      <c r="E16" s="226" t="s">
        <v>572</v>
      </c>
      <c r="F16" s="226">
        <v>0</v>
      </c>
      <c r="G16" s="226">
        <v>6.2</v>
      </c>
      <c r="H16" s="226" t="s">
        <v>772</v>
      </c>
      <c r="I16" s="226" t="s">
        <v>705</v>
      </c>
      <c r="J16" s="226" t="s">
        <v>832</v>
      </c>
      <c r="K16" s="226">
        <v>0</v>
      </c>
      <c r="L16"/>
    </row>
    <row r="17" spans="1:12" ht="39" x14ac:dyDescent="0.2">
      <c r="A17" s="226">
        <v>34</v>
      </c>
      <c r="B17" s="226" t="s">
        <v>200</v>
      </c>
      <c r="C17" s="226" t="s">
        <v>516</v>
      </c>
      <c r="D17" s="227">
        <v>0</v>
      </c>
      <c r="E17" s="226">
        <v>0</v>
      </c>
      <c r="F17" s="226">
        <v>0</v>
      </c>
      <c r="G17" s="226">
        <v>16</v>
      </c>
      <c r="H17" s="226">
        <v>0</v>
      </c>
      <c r="I17" s="226">
        <v>0</v>
      </c>
      <c r="J17" s="226">
        <v>0</v>
      </c>
      <c r="K17" s="226" t="s">
        <v>2109</v>
      </c>
      <c r="L17"/>
    </row>
    <row r="18" spans="1:12" ht="78" x14ac:dyDescent="0.2">
      <c r="A18" s="226">
        <v>36</v>
      </c>
      <c r="B18" s="226" t="s">
        <v>202</v>
      </c>
      <c r="C18" s="226" t="s">
        <v>442</v>
      </c>
      <c r="D18" s="227">
        <v>0</v>
      </c>
      <c r="E18" s="226" t="s">
        <v>573</v>
      </c>
      <c r="F18" s="226">
        <v>0</v>
      </c>
      <c r="G18" s="226" t="s">
        <v>628</v>
      </c>
      <c r="H18" s="226" t="s">
        <v>774</v>
      </c>
      <c r="I18" s="226">
        <v>0</v>
      </c>
      <c r="J18" s="226" t="s">
        <v>833</v>
      </c>
      <c r="K18" s="226">
        <v>2.4</v>
      </c>
      <c r="L18"/>
    </row>
    <row r="19" spans="1:12" ht="39" x14ac:dyDescent="0.2">
      <c r="A19" s="226">
        <v>37</v>
      </c>
      <c r="B19" s="226" t="s">
        <v>203</v>
      </c>
      <c r="C19" s="226" t="s">
        <v>501</v>
      </c>
      <c r="D19" s="227">
        <v>0</v>
      </c>
      <c r="E19" s="226" t="s">
        <v>567</v>
      </c>
      <c r="F19" s="226">
        <v>0</v>
      </c>
      <c r="G19" s="226" t="s">
        <v>629</v>
      </c>
      <c r="H19" s="226">
        <v>0</v>
      </c>
      <c r="I19" s="226">
        <v>0</v>
      </c>
      <c r="J19" s="226">
        <v>0</v>
      </c>
      <c r="K19" s="226">
        <v>0</v>
      </c>
    </row>
    <row r="20" spans="1:12" ht="26" x14ac:dyDescent="0.2">
      <c r="A20" s="226">
        <v>40</v>
      </c>
      <c r="B20" s="226" t="s">
        <v>206</v>
      </c>
      <c r="C20" s="226" t="s">
        <v>112</v>
      </c>
      <c r="D20" s="227">
        <v>0</v>
      </c>
      <c r="E20" s="226" t="s">
        <v>573</v>
      </c>
      <c r="F20" s="226">
        <v>0</v>
      </c>
      <c r="G20" s="226">
        <v>0</v>
      </c>
      <c r="H20" s="226">
        <v>0</v>
      </c>
      <c r="I20" s="226">
        <v>0</v>
      </c>
      <c r="J20" s="226">
        <v>0</v>
      </c>
      <c r="K20" s="226">
        <v>0</v>
      </c>
    </row>
    <row r="21" spans="1:12" ht="65" x14ac:dyDescent="0.2">
      <c r="A21" s="226">
        <v>41</v>
      </c>
      <c r="B21" s="226" t="s">
        <v>539</v>
      </c>
      <c r="C21" s="226" t="s">
        <v>444</v>
      </c>
      <c r="D21" s="227">
        <v>0</v>
      </c>
      <c r="E21" s="226" t="s">
        <v>570</v>
      </c>
      <c r="F21" s="226">
        <v>0</v>
      </c>
      <c r="G21" s="226" t="s">
        <v>631</v>
      </c>
      <c r="H21" s="226" t="s">
        <v>770</v>
      </c>
      <c r="I21" s="226" t="s">
        <v>706</v>
      </c>
      <c r="J21" s="226" t="s">
        <v>834</v>
      </c>
      <c r="K21" s="226" t="s">
        <v>2110</v>
      </c>
    </row>
    <row r="22" spans="1:12" ht="52" x14ac:dyDescent="0.2">
      <c r="A22" s="226">
        <v>42</v>
      </c>
      <c r="B22" s="226" t="s">
        <v>207</v>
      </c>
      <c r="C22" s="226" t="s">
        <v>502</v>
      </c>
      <c r="D22" s="227">
        <v>0</v>
      </c>
      <c r="E22" s="226" t="s">
        <v>575</v>
      </c>
      <c r="F22" s="226">
        <v>0</v>
      </c>
      <c r="G22" s="226">
        <v>9.1999999999999993</v>
      </c>
      <c r="H22" s="226" t="s">
        <v>770</v>
      </c>
      <c r="I22" s="226" t="s">
        <v>707</v>
      </c>
      <c r="J22" s="226" t="s">
        <v>835</v>
      </c>
      <c r="K22" s="226" t="s">
        <v>2111</v>
      </c>
    </row>
    <row r="23" spans="1:12" ht="26" x14ac:dyDescent="0.2">
      <c r="A23" s="226">
        <v>44</v>
      </c>
      <c r="B23" s="226" t="s">
        <v>210</v>
      </c>
      <c r="C23" s="226" t="s">
        <v>33</v>
      </c>
      <c r="D23" s="227">
        <v>0</v>
      </c>
      <c r="E23" s="226" t="s">
        <v>576</v>
      </c>
      <c r="F23" s="226">
        <v>0</v>
      </c>
      <c r="G23" s="226" t="s">
        <v>634</v>
      </c>
      <c r="H23" s="226" t="s">
        <v>776</v>
      </c>
      <c r="I23" s="226" t="s">
        <v>708</v>
      </c>
      <c r="J23" s="226" t="s">
        <v>836</v>
      </c>
      <c r="K23" s="226" t="s">
        <v>2113</v>
      </c>
    </row>
    <row r="24" spans="1:12" ht="39" x14ac:dyDescent="0.2">
      <c r="A24" s="226">
        <v>45</v>
      </c>
      <c r="B24" s="226" t="s">
        <v>211</v>
      </c>
      <c r="C24" s="226" t="s">
        <v>517</v>
      </c>
      <c r="D24" s="227">
        <v>0</v>
      </c>
      <c r="E24" s="226" t="s">
        <v>576</v>
      </c>
      <c r="F24" s="226">
        <v>0</v>
      </c>
      <c r="G24" s="226" t="s">
        <v>634</v>
      </c>
      <c r="H24" s="226" t="s">
        <v>776</v>
      </c>
      <c r="I24" s="226" t="s">
        <v>709</v>
      </c>
      <c r="J24" s="226" t="s">
        <v>837</v>
      </c>
      <c r="K24" s="226" t="s">
        <v>2113</v>
      </c>
    </row>
    <row r="25" spans="1:12" ht="26" x14ac:dyDescent="0.2">
      <c r="A25" s="226">
        <v>46</v>
      </c>
      <c r="B25" s="226" t="s">
        <v>212</v>
      </c>
      <c r="C25" s="226" t="s">
        <v>2065</v>
      </c>
      <c r="D25" s="227">
        <v>0</v>
      </c>
      <c r="E25" s="226" t="s">
        <v>576</v>
      </c>
      <c r="F25" s="226">
        <v>0</v>
      </c>
      <c r="G25" s="226" t="s">
        <v>634</v>
      </c>
      <c r="H25" s="226" t="s">
        <v>776</v>
      </c>
      <c r="I25" s="226">
        <v>0</v>
      </c>
      <c r="J25" s="226">
        <v>0</v>
      </c>
      <c r="K25" s="226" t="s">
        <v>2113</v>
      </c>
    </row>
    <row r="26" spans="1:12" ht="39" x14ac:dyDescent="0.2">
      <c r="A26" s="226">
        <v>48</v>
      </c>
      <c r="B26" s="226" t="s">
        <v>214</v>
      </c>
      <c r="C26" s="226" t="s">
        <v>2650</v>
      </c>
      <c r="D26" s="227">
        <v>0</v>
      </c>
      <c r="E26" s="226" t="s">
        <v>576</v>
      </c>
      <c r="F26" s="226">
        <v>0</v>
      </c>
      <c r="G26" s="226" t="s">
        <v>635</v>
      </c>
      <c r="H26" s="226" t="s">
        <v>776</v>
      </c>
      <c r="I26" s="226" t="s">
        <v>711</v>
      </c>
      <c r="J26" s="226" t="s">
        <v>838</v>
      </c>
      <c r="K26" s="226" t="s">
        <v>2113</v>
      </c>
    </row>
    <row r="27" spans="1:12" ht="26" x14ac:dyDescent="0.2">
      <c r="A27" s="226">
        <v>49</v>
      </c>
      <c r="B27" s="226" t="s">
        <v>215</v>
      </c>
      <c r="C27" s="226" t="s">
        <v>2560</v>
      </c>
      <c r="D27" s="227">
        <v>0</v>
      </c>
      <c r="E27" s="226" t="s">
        <v>576</v>
      </c>
      <c r="F27" s="226">
        <v>0</v>
      </c>
      <c r="G27" s="226" t="s">
        <v>636</v>
      </c>
      <c r="H27" s="226">
        <v>0</v>
      </c>
      <c r="I27" s="226">
        <v>0</v>
      </c>
      <c r="J27" s="226">
        <v>0</v>
      </c>
      <c r="K27" s="226" t="s">
        <v>2114</v>
      </c>
    </row>
    <row r="28" spans="1:12" ht="26" x14ac:dyDescent="0.2">
      <c r="A28" s="226">
        <v>50</v>
      </c>
      <c r="B28" s="226" t="s">
        <v>216</v>
      </c>
      <c r="C28" s="226" t="s">
        <v>34</v>
      </c>
      <c r="D28" s="227">
        <v>0</v>
      </c>
      <c r="E28" s="226" t="s">
        <v>576</v>
      </c>
      <c r="F28" s="226">
        <v>0</v>
      </c>
      <c r="G28" s="226" t="s">
        <v>636</v>
      </c>
      <c r="H28" s="226" t="s">
        <v>776</v>
      </c>
      <c r="I28" s="226">
        <v>0</v>
      </c>
      <c r="J28" s="226">
        <v>0</v>
      </c>
      <c r="K28" s="226" t="s">
        <v>2113</v>
      </c>
    </row>
    <row r="29" spans="1:12" ht="26" x14ac:dyDescent="0.2">
      <c r="A29" s="226">
        <v>51</v>
      </c>
      <c r="B29" s="226" t="s">
        <v>217</v>
      </c>
      <c r="C29" s="226" t="s">
        <v>35</v>
      </c>
      <c r="D29" s="227">
        <v>0</v>
      </c>
      <c r="E29" s="226" t="s">
        <v>576</v>
      </c>
      <c r="F29" s="226">
        <v>0</v>
      </c>
      <c r="G29" s="226" t="s">
        <v>636</v>
      </c>
      <c r="H29" s="226" t="s">
        <v>776</v>
      </c>
      <c r="I29" s="226" t="s">
        <v>712</v>
      </c>
      <c r="J29" s="226" t="s">
        <v>837</v>
      </c>
      <c r="K29" s="226" t="s">
        <v>2113</v>
      </c>
    </row>
    <row r="30" spans="1:12" ht="52" x14ac:dyDescent="0.2">
      <c r="A30" s="226">
        <v>54</v>
      </c>
      <c r="B30" s="226" t="s">
        <v>220</v>
      </c>
      <c r="C30" s="226" t="s">
        <v>518</v>
      </c>
      <c r="D30" s="227">
        <v>0</v>
      </c>
      <c r="E30" s="226" t="s">
        <v>576</v>
      </c>
      <c r="F30" s="226">
        <v>0</v>
      </c>
      <c r="G30" s="226" t="s">
        <v>636</v>
      </c>
      <c r="H30" s="226" t="s">
        <v>777</v>
      </c>
      <c r="I30" s="226">
        <v>0</v>
      </c>
      <c r="J30" s="226">
        <v>0</v>
      </c>
      <c r="K30" s="226" t="s">
        <v>2113</v>
      </c>
    </row>
    <row r="31" spans="1:12" ht="39" x14ac:dyDescent="0.2">
      <c r="A31" s="226">
        <v>56</v>
      </c>
      <c r="B31" s="226" t="s">
        <v>222</v>
      </c>
      <c r="C31" s="226" t="s">
        <v>93</v>
      </c>
      <c r="D31" s="227">
        <v>0</v>
      </c>
      <c r="E31" s="226" t="s">
        <v>576</v>
      </c>
      <c r="F31" s="226">
        <v>0</v>
      </c>
      <c r="G31" s="226">
        <v>0</v>
      </c>
      <c r="H31" s="226" t="s">
        <v>777</v>
      </c>
      <c r="I31" s="226">
        <v>0</v>
      </c>
      <c r="J31" s="226">
        <v>0</v>
      </c>
      <c r="K31" s="226">
        <v>0</v>
      </c>
    </row>
    <row r="32" spans="1:12" ht="39" x14ac:dyDescent="0.2">
      <c r="A32" s="226">
        <v>57</v>
      </c>
      <c r="B32" s="226" t="s">
        <v>223</v>
      </c>
      <c r="C32" s="226" t="s">
        <v>519</v>
      </c>
      <c r="D32" s="227">
        <v>0</v>
      </c>
      <c r="E32" s="226" t="s">
        <v>576</v>
      </c>
      <c r="F32" s="226">
        <v>0</v>
      </c>
      <c r="G32" s="226">
        <v>0</v>
      </c>
      <c r="H32" s="226" t="s">
        <v>777</v>
      </c>
      <c r="I32" s="226" t="s">
        <v>714</v>
      </c>
      <c r="J32" s="226">
        <v>0</v>
      </c>
      <c r="K32" s="226" t="s">
        <v>2113</v>
      </c>
    </row>
    <row r="33" spans="1:11" ht="52" x14ac:dyDescent="0.2">
      <c r="A33" s="226">
        <v>58</v>
      </c>
      <c r="B33" s="226" t="s">
        <v>224</v>
      </c>
      <c r="C33" s="226" t="s">
        <v>540</v>
      </c>
      <c r="D33" s="227">
        <v>0</v>
      </c>
      <c r="E33" s="226" t="s">
        <v>578</v>
      </c>
      <c r="F33" s="226">
        <v>0</v>
      </c>
      <c r="G33" s="226" t="s">
        <v>633</v>
      </c>
      <c r="H33" s="226" t="s">
        <v>778</v>
      </c>
      <c r="I33" s="226" t="s">
        <v>715</v>
      </c>
      <c r="J33" s="226" t="s">
        <v>840</v>
      </c>
      <c r="K33" s="226" t="s">
        <v>2115</v>
      </c>
    </row>
    <row r="34" spans="1:11" ht="130" x14ac:dyDescent="0.2">
      <c r="A34" s="226">
        <v>59</v>
      </c>
      <c r="B34" s="226" t="s">
        <v>225</v>
      </c>
      <c r="C34" s="226" t="s">
        <v>2096</v>
      </c>
      <c r="D34" s="227">
        <v>0</v>
      </c>
      <c r="E34" s="226" t="s">
        <v>578</v>
      </c>
      <c r="F34" s="226">
        <v>0</v>
      </c>
      <c r="G34" s="226" t="s">
        <v>633</v>
      </c>
      <c r="H34" s="226" t="s">
        <v>778</v>
      </c>
      <c r="I34" s="226" t="s">
        <v>716</v>
      </c>
      <c r="J34" s="226" t="s">
        <v>841</v>
      </c>
      <c r="K34" s="226" t="s">
        <v>2116</v>
      </c>
    </row>
    <row r="35" spans="1:11" ht="39" x14ac:dyDescent="0.2">
      <c r="A35" s="226">
        <v>61</v>
      </c>
      <c r="B35" s="226" t="s">
        <v>209</v>
      </c>
      <c r="C35" s="226" t="s">
        <v>541</v>
      </c>
      <c r="D35" s="227">
        <v>0</v>
      </c>
      <c r="E35" s="226" t="s">
        <v>569</v>
      </c>
      <c r="F35" s="226">
        <v>0</v>
      </c>
      <c r="G35" s="226" t="s">
        <v>639</v>
      </c>
      <c r="H35" s="226" t="s">
        <v>698</v>
      </c>
      <c r="I35" s="226" t="s">
        <v>718</v>
      </c>
      <c r="J35" s="226" t="s">
        <v>843</v>
      </c>
      <c r="K35" s="226">
        <v>0</v>
      </c>
    </row>
    <row r="36" spans="1:11" ht="39" x14ac:dyDescent="0.2">
      <c r="A36" s="226">
        <v>66</v>
      </c>
      <c r="B36" s="226" t="s">
        <v>231</v>
      </c>
      <c r="C36" s="226" t="s">
        <v>542</v>
      </c>
      <c r="D36" s="227">
        <v>0</v>
      </c>
      <c r="E36" s="226" t="s">
        <v>569</v>
      </c>
      <c r="F36" s="226">
        <v>0</v>
      </c>
      <c r="G36" s="226" t="s">
        <v>616</v>
      </c>
      <c r="H36" s="226" t="s">
        <v>698</v>
      </c>
      <c r="I36" s="226" t="s">
        <v>718</v>
      </c>
      <c r="J36" s="226" t="s">
        <v>843</v>
      </c>
      <c r="K36" s="226">
        <v>0</v>
      </c>
    </row>
    <row r="37" spans="1:11" ht="39" x14ac:dyDescent="0.2">
      <c r="A37" s="226">
        <v>67</v>
      </c>
      <c r="B37" s="226" t="s">
        <v>232</v>
      </c>
      <c r="C37" s="226" t="s">
        <v>2068</v>
      </c>
      <c r="D37" s="227">
        <v>0</v>
      </c>
      <c r="E37" s="226" t="s">
        <v>569</v>
      </c>
      <c r="F37" s="226">
        <v>0</v>
      </c>
      <c r="G37" s="226" t="s">
        <v>640</v>
      </c>
      <c r="H37" s="226" t="s">
        <v>698</v>
      </c>
      <c r="I37" s="226" t="s">
        <v>718</v>
      </c>
      <c r="J37" s="226" t="s">
        <v>843</v>
      </c>
      <c r="K37" s="226">
        <v>0</v>
      </c>
    </row>
    <row r="38" spans="1:11" ht="39" x14ac:dyDescent="0.2">
      <c r="A38" s="226">
        <v>73</v>
      </c>
      <c r="B38" s="226" t="s">
        <v>238</v>
      </c>
      <c r="C38" s="226" t="s">
        <v>100</v>
      </c>
      <c r="D38" s="227">
        <v>0</v>
      </c>
      <c r="E38" s="226" t="s">
        <v>569</v>
      </c>
      <c r="F38" s="226">
        <v>0</v>
      </c>
      <c r="G38" s="226" t="s">
        <v>645</v>
      </c>
      <c r="H38" s="226" t="s">
        <v>779</v>
      </c>
      <c r="I38" s="226" t="s">
        <v>720</v>
      </c>
      <c r="J38" s="226" t="s">
        <v>846</v>
      </c>
      <c r="K38" s="226" t="s">
        <v>2118</v>
      </c>
    </row>
    <row r="39" spans="1:11" ht="65" x14ac:dyDescent="0.2">
      <c r="A39" s="226">
        <v>77</v>
      </c>
      <c r="B39" s="226" t="s">
        <v>242</v>
      </c>
      <c r="C39" s="226" t="s">
        <v>449</v>
      </c>
      <c r="D39" s="227">
        <v>0</v>
      </c>
      <c r="E39" s="226" t="s">
        <v>573</v>
      </c>
      <c r="F39" s="226">
        <v>0</v>
      </c>
      <c r="G39" s="226">
        <v>0</v>
      </c>
      <c r="H39" s="226">
        <v>0</v>
      </c>
      <c r="I39" s="226">
        <v>0</v>
      </c>
      <c r="J39" s="226" t="s">
        <v>846</v>
      </c>
      <c r="K39" s="226" t="s">
        <v>2120</v>
      </c>
    </row>
    <row r="40" spans="1:11" ht="91" x14ac:dyDescent="0.2">
      <c r="A40" s="226">
        <v>80</v>
      </c>
      <c r="B40" s="226" t="s">
        <v>245</v>
      </c>
      <c r="C40" s="226" t="s">
        <v>2145</v>
      </c>
      <c r="D40" s="227">
        <v>0</v>
      </c>
      <c r="E40" s="226" t="s">
        <v>573</v>
      </c>
      <c r="F40" s="226">
        <v>0</v>
      </c>
      <c r="G40" s="226" t="s">
        <v>628</v>
      </c>
      <c r="H40" s="226" t="s">
        <v>775</v>
      </c>
      <c r="I40" s="226" t="s">
        <v>722</v>
      </c>
      <c r="J40" s="226" t="s">
        <v>846</v>
      </c>
      <c r="K40" s="226">
        <v>12.1</v>
      </c>
    </row>
    <row r="41" spans="1:11" ht="39" x14ac:dyDescent="0.2">
      <c r="A41" s="226">
        <v>88</v>
      </c>
      <c r="B41" s="226" t="s">
        <v>253</v>
      </c>
      <c r="C41" s="226" t="s">
        <v>2081</v>
      </c>
      <c r="D41" s="227">
        <v>0</v>
      </c>
      <c r="E41" s="226" t="s">
        <v>572</v>
      </c>
      <c r="F41" s="226">
        <v>0</v>
      </c>
      <c r="G41" s="226">
        <v>0</v>
      </c>
      <c r="H41" s="226" t="s">
        <v>782</v>
      </c>
      <c r="I41" s="226" t="s">
        <v>724</v>
      </c>
      <c r="J41" s="226" t="s">
        <v>847</v>
      </c>
      <c r="K41" s="226">
        <v>12.8</v>
      </c>
    </row>
    <row r="42" spans="1:11" ht="26" x14ac:dyDescent="0.2">
      <c r="A42" s="226">
        <v>90</v>
      </c>
      <c r="B42" s="226" t="s">
        <v>255</v>
      </c>
      <c r="C42" s="226" t="s">
        <v>2571</v>
      </c>
      <c r="D42" s="227">
        <v>0</v>
      </c>
      <c r="E42" s="226" t="s">
        <v>567</v>
      </c>
      <c r="F42" s="226">
        <v>0</v>
      </c>
      <c r="G42" s="226" t="s">
        <v>648</v>
      </c>
      <c r="H42" s="226" t="s">
        <v>783</v>
      </c>
      <c r="I42" s="226">
        <v>0</v>
      </c>
      <c r="J42" s="226">
        <v>0</v>
      </c>
      <c r="K42" s="226" t="s">
        <v>2126</v>
      </c>
    </row>
    <row r="43" spans="1:11" ht="26" x14ac:dyDescent="0.2">
      <c r="A43" s="226">
        <v>91</v>
      </c>
      <c r="B43" s="226" t="s">
        <v>256</v>
      </c>
      <c r="C43" s="226" t="s">
        <v>472</v>
      </c>
      <c r="D43" s="227">
        <v>0</v>
      </c>
      <c r="E43" s="226" t="s">
        <v>567</v>
      </c>
      <c r="F43" s="226">
        <v>0</v>
      </c>
      <c r="G43" s="226" t="s">
        <v>649</v>
      </c>
      <c r="H43" s="226" t="s">
        <v>784</v>
      </c>
      <c r="I43" s="226" t="s">
        <v>726</v>
      </c>
      <c r="J43" s="226" t="s">
        <v>849</v>
      </c>
      <c r="K43" s="226">
        <v>12.8</v>
      </c>
    </row>
    <row r="44" spans="1:11" ht="52" x14ac:dyDescent="0.2">
      <c r="A44" s="226">
        <v>92</v>
      </c>
      <c r="B44" s="226" t="s">
        <v>257</v>
      </c>
      <c r="C44" s="226" t="s">
        <v>451</v>
      </c>
      <c r="D44" s="227">
        <v>0</v>
      </c>
      <c r="E44" s="226" t="s">
        <v>567</v>
      </c>
      <c r="F44" s="226">
        <v>0</v>
      </c>
      <c r="G44" s="226" t="s">
        <v>649</v>
      </c>
      <c r="H44" s="226">
        <v>0</v>
      </c>
      <c r="I44" s="226" t="s">
        <v>735</v>
      </c>
      <c r="J44" s="226">
        <v>0</v>
      </c>
      <c r="K44" s="226">
        <v>12.1</v>
      </c>
    </row>
    <row r="45" spans="1:11" ht="65" x14ac:dyDescent="0.2">
      <c r="A45" s="226">
        <v>93</v>
      </c>
      <c r="B45" s="226" t="s">
        <v>258</v>
      </c>
      <c r="C45" s="226" t="s">
        <v>2572</v>
      </c>
      <c r="D45" s="227">
        <v>0</v>
      </c>
      <c r="E45" s="226" t="s">
        <v>567</v>
      </c>
      <c r="F45" s="226">
        <v>0</v>
      </c>
      <c r="G45" s="226" t="s">
        <v>655</v>
      </c>
      <c r="H45" s="226" t="s">
        <v>783</v>
      </c>
      <c r="I45" s="226">
        <v>0</v>
      </c>
      <c r="J45" s="226" t="s">
        <v>850</v>
      </c>
      <c r="K45" s="226" t="s">
        <v>2126</v>
      </c>
    </row>
    <row r="46" spans="1:11" ht="26" x14ac:dyDescent="0.2">
      <c r="A46" s="226">
        <v>95</v>
      </c>
      <c r="B46" s="226" t="s">
        <v>260</v>
      </c>
      <c r="C46" s="226" t="s">
        <v>521</v>
      </c>
      <c r="D46" s="227">
        <v>0</v>
      </c>
      <c r="E46" s="226" t="s">
        <v>567</v>
      </c>
      <c r="F46" s="226">
        <v>0</v>
      </c>
      <c r="G46" s="226" t="s">
        <v>650</v>
      </c>
      <c r="H46" s="226">
        <v>0</v>
      </c>
      <c r="I46" s="226" t="s">
        <v>727</v>
      </c>
      <c r="J46" s="226" t="s">
        <v>828</v>
      </c>
      <c r="K46" s="226">
        <v>12.8</v>
      </c>
    </row>
    <row r="47" spans="1:11" ht="39" x14ac:dyDescent="0.2">
      <c r="A47" s="226">
        <v>98</v>
      </c>
      <c r="B47" s="226" t="s">
        <v>263</v>
      </c>
      <c r="C47" s="226" t="s">
        <v>2574</v>
      </c>
      <c r="D47" s="227">
        <v>0</v>
      </c>
      <c r="E47" s="226" t="s">
        <v>567</v>
      </c>
      <c r="F47" s="226">
        <v>0</v>
      </c>
      <c r="G47" s="226" t="s">
        <v>652</v>
      </c>
      <c r="H47" s="226">
        <v>0</v>
      </c>
      <c r="I47" s="226" t="s">
        <v>727</v>
      </c>
      <c r="J47" s="226">
        <v>0</v>
      </c>
      <c r="K47" s="226">
        <v>12.8</v>
      </c>
    </row>
    <row r="48" spans="1:11" ht="13" x14ac:dyDescent="0.2">
      <c r="A48" s="226">
        <v>104</v>
      </c>
      <c r="B48" s="226" t="s">
        <v>269</v>
      </c>
      <c r="C48" s="226" t="s">
        <v>544</v>
      </c>
      <c r="D48" s="227">
        <v>0</v>
      </c>
      <c r="E48" s="226" t="s">
        <v>569</v>
      </c>
      <c r="F48" s="226">
        <v>0</v>
      </c>
      <c r="G48" s="226" t="s">
        <v>651</v>
      </c>
      <c r="H48" s="226" t="s">
        <v>786</v>
      </c>
      <c r="I48" s="226" t="s">
        <v>728</v>
      </c>
      <c r="J48" s="226" t="s">
        <v>851</v>
      </c>
      <c r="K48" s="226">
        <v>0</v>
      </c>
    </row>
    <row r="49" spans="1:11" ht="65" x14ac:dyDescent="0.2">
      <c r="A49" s="226">
        <v>109</v>
      </c>
      <c r="B49" s="226" t="s">
        <v>275</v>
      </c>
      <c r="C49" s="226" t="s">
        <v>2643</v>
      </c>
      <c r="D49" s="227">
        <v>0</v>
      </c>
      <c r="E49" s="226" t="s">
        <v>567</v>
      </c>
      <c r="F49" s="226">
        <v>0</v>
      </c>
      <c r="G49" s="226" t="s">
        <v>654</v>
      </c>
      <c r="H49" s="226" t="s">
        <v>788</v>
      </c>
      <c r="I49" s="226" t="s">
        <v>732</v>
      </c>
      <c r="J49" s="226" t="s">
        <v>852</v>
      </c>
      <c r="K49" s="226" t="s">
        <v>2127</v>
      </c>
    </row>
    <row r="50" spans="1:11" ht="26" x14ac:dyDescent="0.2">
      <c r="A50" s="226">
        <v>114</v>
      </c>
      <c r="B50" s="226" t="s">
        <v>280</v>
      </c>
      <c r="C50" s="226" t="s">
        <v>523</v>
      </c>
      <c r="D50" s="227">
        <v>0</v>
      </c>
      <c r="E50" s="226" t="s">
        <v>581</v>
      </c>
      <c r="F50" s="226">
        <v>0</v>
      </c>
      <c r="G50" s="226" t="s">
        <v>630</v>
      </c>
      <c r="H50" s="226" t="s">
        <v>769</v>
      </c>
      <c r="I50" s="226">
        <v>0</v>
      </c>
      <c r="J50" s="226">
        <v>0</v>
      </c>
      <c r="K50" s="226">
        <v>0</v>
      </c>
    </row>
    <row r="51" spans="1:11" ht="26" x14ac:dyDescent="0.2">
      <c r="A51" s="226">
        <v>115</v>
      </c>
      <c r="B51" s="226" t="s">
        <v>281</v>
      </c>
      <c r="C51" s="226" t="s">
        <v>24</v>
      </c>
      <c r="D51" s="227">
        <v>0</v>
      </c>
      <c r="E51" s="226" t="s">
        <v>567</v>
      </c>
      <c r="F51" s="226">
        <v>0</v>
      </c>
      <c r="G51" s="226" t="s">
        <v>648</v>
      </c>
      <c r="H51" s="226" t="s">
        <v>784</v>
      </c>
      <c r="I51" s="226">
        <v>0</v>
      </c>
      <c r="J51" s="226">
        <v>0</v>
      </c>
      <c r="K51" s="226">
        <v>0</v>
      </c>
    </row>
    <row r="52" spans="1:11" ht="26" x14ac:dyDescent="0.2">
      <c r="A52" s="226">
        <v>116</v>
      </c>
      <c r="B52" s="226" t="s">
        <v>282</v>
      </c>
      <c r="C52" s="226" t="s">
        <v>558</v>
      </c>
      <c r="D52" s="227">
        <v>0</v>
      </c>
      <c r="E52" s="226" t="s">
        <v>567</v>
      </c>
      <c r="F52" s="226">
        <v>0</v>
      </c>
      <c r="G52" s="226" t="s">
        <v>648</v>
      </c>
      <c r="H52" s="226" t="s">
        <v>790</v>
      </c>
      <c r="I52" s="226">
        <v>0</v>
      </c>
      <c r="J52" s="226">
        <v>0</v>
      </c>
      <c r="K52" s="226">
        <v>0</v>
      </c>
    </row>
    <row r="53" spans="1:11" ht="26" x14ac:dyDescent="0.2">
      <c r="A53" s="226">
        <v>120</v>
      </c>
      <c r="B53" s="226" t="s">
        <v>286</v>
      </c>
      <c r="C53" s="226" t="s">
        <v>25</v>
      </c>
      <c r="D53" s="227">
        <v>0</v>
      </c>
      <c r="E53" s="226" t="s">
        <v>584</v>
      </c>
      <c r="F53" s="226">
        <v>0</v>
      </c>
      <c r="G53" s="226">
        <v>0</v>
      </c>
      <c r="H53" s="226">
        <v>0</v>
      </c>
      <c r="I53" s="226">
        <v>0</v>
      </c>
      <c r="J53" s="226" t="s">
        <v>827</v>
      </c>
      <c r="K53" s="226">
        <v>12.8</v>
      </c>
    </row>
    <row r="54" spans="1:11" ht="26" x14ac:dyDescent="0.2">
      <c r="A54" s="226">
        <v>125</v>
      </c>
      <c r="B54" s="226" t="s">
        <v>291</v>
      </c>
      <c r="C54" s="226" t="s">
        <v>2606</v>
      </c>
      <c r="D54" s="227">
        <v>0</v>
      </c>
      <c r="E54" s="226" t="s">
        <v>572</v>
      </c>
      <c r="F54" s="226">
        <v>0</v>
      </c>
      <c r="G54" s="226" t="s">
        <v>615</v>
      </c>
      <c r="H54" s="226">
        <v>0</v>
      </c>
      <c r="I54" s="226">
        <v>0</v>
      </c>
      <c r="J54" s="226">
        <v>0</v>
      </c>
      <c r="K54" s="226">
        <v>12.9</v>
      </c>
    </row>
    <row r="55" spans="1:11" ht="26" x14ac:dyDescent="0.2">
      <c r="A55" s="226">
        <v>136</v>
      </c>
      <c r="B55" s="226" t="s">
        <v>302</v>
      </c>
      <c r="C55" s="226" t="s">
        <v>550</v>
      </c>
      <c r="D55" s="227">
        <v>0</v>
      </c>
      <c r="E55" s="226" t="s">
        <v>569</v>
      </c>
      <c r="F55" s="226">
        <v>0</v>
      </c>
      <c r="G55" s="226" t="s">
        <v>639</v>
      </c>
      <c r="H55" s="226" t="s">
        <v>698</v>
      </c>
      <c r="I55" s="226" t="s">
        <v>718</v>
      </c>
      <c r="J55" s="226" t="s">
        <v>844</v>
      </c>
      <c r="K55" s="226">
        <v>12.8</v>
      </c>
    </row>
    <row r="56" spans="1:11" ht="26" x14ac:dyDescent="0.2">
      <c r="A56" s="226">
        <v>142</v>
      </c>
      <c r="B56" s="226" t="s">
        <v>308</v>
      </c>
      <c r="C56" s="226" t="s">
        <v>120</v>
      </c>
      <c r="D56" s="227">
        <v>0</v>
      </c>
      <c r="E56" s="226" t="s">
        <v>569</v>
      </c>
      <c r="F56" s="226">
        <v>0</v>
      </c>
      <c r="G56" s="226">
        <v>0</v>
      </c>
      <c r="H56" s="226" t="s">
        <v>698</v>
      </c>
      <c r="I56" s="226" t="s">
        <v>718</v>
      </c>
      <c r="J56" s="226" t="s">
        <v>844</v>
      </c>
      <c r="K56" s="226">
        <v>12.8</v>
      </c>
    </row>
    <row r="57" spans="1:11" ht="26" x14ac:dyDescent="0.2">
      <c r="A57" s="226">
        <v>149</v>
      </c>
      <c r="B57" s="226" t="s">
        <v>315</v>
      </c>
      <c r="C57" s="226" t="s">
        <v>31</v>
      </c>
      <c r="D57" s="227">
        <v>0</v>
      </c>
      <c r="E57" s="226" t="s">
        <v>583</v>
      </c>
      <c r="F57" s="226">
        <v>0</v>
      </c>
      <c r="G57" s="226" t="s">
        <v>664</v>
      </c>
      <c r="H57" s="226" t="s">
        <v>794</v>
      </c>
      <c r="I57" s="226">
        <v>0</v>
      </c>
      <c r="J57" s="226">
        <v>0</v>
      </c>
      <c r="K57" s="226">
        <v>1.1000000000000001</v>
      </c>
    </row>
    <row r="58" spans="1:11" ht="26" x14ac:dyDescent="0.2">
      <c r="A58" s="226">
        <v>150</v>
      </c>
      <c r="B58" s="226" t="s">
        <v>316</v>
      </c>
      <c r="C58" s="226" t="s">
        <v>32</v>
      </c>
      <c r="D58" s="227">
        <v>0</v>
      </c>
      <c r="E58" s="226" t="s">
        <v>583</v>
      </c>
      <c r="F58" s="226">
        <v>0</v>
      </c>
      <c r="G58" s="226" t="s">
        <v>664</v>
      </c>
      <c r="H58" s="226" t="s">
        <v>794</v>
      </c>
      <c r="I58" s="226">
        <v>0</v>
      </c>
      <c r="J58" s="226">
        <v>0</v>
      </c>
      <c r="K58" s="226">
        <v>1.1000000000000001</v>
      </c>
    </row>
    <row r="59" spans="1:11" ht="26" x14ac:dyDescent="0.2">
      <c r="A59" s="226">
        <v>152</v>
      </c>
      <c r="B59" s="226" t="s">
        <v>318</v>
      </c>
      <c r="C59" s="226" t="s">
        <v>507</v>
      </c>
      <c r="D59" s="227">
        <v>0</v>
      </c>
      <c r="E59" s="226" t="s">
        <v>583</v>
      </c>
      <c r="F59" s="226">
        <v>0</v>
      </c>
      <c r="G59" s="226" t="s">
        <v>645</v>
      </c>
      <c r="H59" s="226" t="s">
        <v>792</v>
      </c>
      <c r="I59" s="226">
        <v>0</v>
      </c>
      <c r="J59" s="226">
        <v>0</v>
      </c>
      <c r="K59" s="226">
        <v>1.1000000000000001</v>
      </c>
    </row>
    <row r="60" spans="1:11" ht="26" x14ac:dyDescent="0.2">
      <c r="A60" s="226">
        <v>153</v>
      </c>
      <c r="B60" s="226" t="s">
        <v>319</v>
      </c>
      <c r="C60" s="226" t="s">
        <v>107</v>
      </c>
      <c r="D60" s="227">
        <v>0</v>
      </c>
      <c r="E60" s="226" t="s">
        <v>586</v>
      </c>
      <c r="F60" s="226">
        <v>0</v>
      </c>
      <c r="G60" s="226" t="s">
        <v>658</v>
      </c>
      <c r="H60" s="226" t="s">
        <v>795</v>
      </c>
      <c r="I60" s="226" t="s">
        <v>738</v>
      </c>
      <c r="J60" s="226" t="s">
        <v>859</v>
      </c>
      <c r="K60" s="226">
        <v>11.4</v>
      </c>
    </row>
    <row r="61" spans="1:11" ht="26" x14ac:dyDescent="0.2">
      <c r="A61" s="226">
        <v>155</v>
      </c>
      <c r="B61" s="226" t="s">
        <v>321</v>
      </c>
      <c r="C61" s="226" t="s">
        <v>126</v>
      </c>
      <c r="D61" s="227">
        <v>0</v>
      </c>
      <c r="E61" s="226" t="s">
        <v>586</v>
      </c>
      <c r="F61" s="226">
        <v>0</v>
      </c>
      <c r="G61" s="226" t="s">
        <v>658</v>
      </c>
      <c r="H61" s="226" t="s">
        <v>795</v>
      </c>
      <c r="I61" s="226" t="s">
        <v>738</v>
      </c>
      <c r="J61" s="226" t="s">
        <v>859</v>
      </c>
      <c r="K61" s="226">
        <v>11.4</v>
      </c>
    </row>
    <row r="62" spans="1:11" ht="39" x14ac:dyDescent="0.2">
      <c r="A62" s="226">
        <v>160</v>
      </c>
      <c r="B62" s="226" t="s">
        <v>326</v>
      </c>
      <c r="C62" s="226" t="s">
        <v>2585</v>
      </c>
      <c r="D62" s="227">
        <v>0</v>
      </c>
      <c r="E62" s="226" t="s">
        <v>578</v>
      </c>
      <c r="F62" s="226">
        <v>0</v>
      </c>
      <c r="G62" s="226" t="s">
        <v>665</v>
      </c>
      <c r="H62" s="226" t="s">
        <v>797</v>
      </c>
      <c r="I62" s="226" t="s">
        <v>739</v>
      </c>
      <c r="J62" s="226" t="s">
        <v>862</v>
      </c>
      <c r="K62" s="226" t="s">
        <v>2129</v>
      </c>
    </row>
    <row r="63" spans="1:11" ht="39" x14ac:dyDescent="0.2">
      <c r="A63" s="226">
        <v>163</v>
      </c>
      <c r="B63" s="226" t="s">
        <v>329</v>
      </c>
      <c r="C63" s="226" t="s">
        <v>51</v>
      </c>
      <c r="D63" s="227">
        <v>0</v>
      </c>
      <c r="E63" s="226" t="s">
        <v>568</v>
      </c>
      <c r="F63" s="226">
        <v>0</v>
      </c>
      <c r="G63" s="226">
        <v>0</v>
      </c>
      <c r="H63" s="226" t="s">
        <v>798</v>
      </c>
      <c r="I63" s="226">
        <v>0</v>
      </c>
      <c r="J63" s="226">
        <v>0</v>
      </c>
      <c r="K63" s="226">
        <v>0</v>
      </c>
    </row>
    <row r="64" spans="1:11" ht="13" x14ac:dyDescent="0.2">
      <c r="A64" s="226">
        <v>165</v>
      </c>
      <c r="B64" s="226" t="s">
        <v>331</v>
      </c>
      <c r="C64" s="226" t="s">
        <v>2589</v>
      </c>
      <c r="D64" s="227">
        <v>0</v>
      </c>
      <c r="E64" s="226" t="s">
        <v>567</v>
      </c>
      <c r="F64" s="226">
        <v>0</v>
      </c>
      <c r="G64" s="226" t="s">
        <v>667</v>
      </c>
      <c r="H64" s="226" t="s">
        <v>799</v>
      </c>
      <c r="I64" s="226" t="s">
        <v>740</v>
      </c>
      <c r="J64" s="226" t="s">
        <v>863</v>
      </c>
      <c r="K64" s="226">
        <v>4.0999999999999996</v>
      </c>
    </row>
    <row r="65" spans="1:11" ht="26" x14ac:dyDescent="0.2">
      <c r="A65" s="226">
        <v>166</v>
      </c>
      <c r="B65" s="226" t="s">
        <v>332</v>
      </c>
      <c r="C65" s="226" t="s">
        <v>2590</v>
      </c>
      <c r="D65" s="227">
        <v>0</v>
      </c>
      <c r="E65" s="226" t="s">
        <v>570</v>
      </c>
      <c r="F65" s="226">
        <v>0</v>
      </c>
      <c r="G65" s="226" t="s">
        <v>667</v>
      </c>
      <c r="H65" s="226" t="s">
        <v>800</v>
      </c>
      <c r="I65" s="226">
        <v>0</v>
      </c>
      <c r="J65" s="226">
        <v>0</v>
      </c>
      <c r="K65" s="226">
        <v>0</v>
      </c>
    </row>
    <row r="66" spans="1:11" ht="39" x14ac:dyDescent="0.2">
      <c r="A66" s="226">
        <v>167</v>
      </c>
      <c r="B66" s="226" t="s">
        <v>333</v>
      </c>
      <c r="C66" s="226" t="s">
        <v>53</v>
      </c>
      <c r="D66" s="227">
        <v>0</v>
      </c>
      <c r="E66" s="226" t="s">
        <v>576</v>
      </c>
      <c r="F66" s="226">
        <v>0</v>
      </c>
      <c r="G66" s="226" t="s">
        <v>668</v>
      </c>
      <c r="H66" s="226">
        <v>0</v>
      </c>
      <c r="I66" s="226">
        <v>0</v>
      </c>
      <c r="J66" s="226">
        <v>0</v>
      </c>
      <c r="K66" s="226">
        <v>0</v>
      </c>
    </row>
    <row r="67" spans="1:11" ht="26" x14ac:dyDescent="0.2">
      <c r="A67" s="226">
        <v>169</v>
      </c>
      <c r="B67" s="226" t="s">
        <v>335</v>
      </c>
      <c r="C67" s="226" t="s">
        <v>2591</v>
      </c>
      <c r="D67" s="227">
        <v>0</v>
      </c>
      <c r="E67" s="226" t="s">
        <v>568</v>
      </c>
      <c r="F67" s="226">
        <v>0</v>
      </c>
      <c r="G67" s="226" t="s">
        <v>620</v>
      </c>
      <c r="H67" s="226" t="s">
        <v>798</v>
      </c>
      <c r="I67" s="226">
        <v>0</v>
      </c>
      <c r="J67" s="226">
        <v>0</v>
      </c>
      <c r="K67" s="226">
        <v>0</v>
      </c>
    </row>
    <row r="68" spans="1:11" ht="26" x14ac:dyDescent="0.2">
      <c r="A68" s="226">
        <v>170</v>
      </c>
      <c r="B68" s="226" t="s">
        <v>336</v>
      </c>
      <c r="C68" s="226" t="s">
        <v>54</v>
      </c>
      <c r="D68" s="227">
        <v>0</v>
      </c>
      <c r="E68" s="226" t="s">
        <v>568</v>
      </c>
      <c r="F68" s="226">
        <v>0</v>
      </c>
      <c r="G68" s="226" t="s">
        <v>669</v>
      </c>
      <c r="H68" s="226" t="s">
        <v>801</v>
      </c>
      <c r="I68" s="226">
        <v>0</v>
      </c>
      <c r="J68" s="226">
        <v>0</v>
      </c>
      <c r="K68" s="226">
        <v>0</v>
      </c>
    </row>
    <row r="69" spans="1:11" ht="39" x14ac:dyDescent="0.2">
      <c r="A69" s="226">
        <v>171</v>
      </c>
      <c r="B69" s="226" t="s">
        <v>554</v>
      </c>
      <c r="C69" s="226" t="s">
        <v>2624</v>
      </c>
      <c r="D69" s="227">
        <v>0</v>
      </c>
      <c r="E69" s="226" t="s">
        <v>568</v>
      </c>
      <c r="F69" s="226">
        <v>0</v>
      </c>
      <c r="G69" s="226" t="s">
        <v>669</v>
      </c>
      <c r="H69" s="226" t="s">
        <v>801</v>
      </c>
      <c r="I69" s="226">
        <v>0</v>
      </c>
      <c r="J69" s="226">
        <v>0</v>
      </c>
      <c r="K69" s="226">
        <v>0</v>
      </c>
    </row>
    <row r="70" spans="1:11" ht="26" x14ac:dyDescent="0.2">
      <c r="A70" s="226">
        <v>173</v>
      </c>
      <c r="B70" s="226" t="s">
        <v>338</v>
      </c>
      <c r="C70" s="226" t="s">
        <v>555</v>
      </c>
      <c r="D70" s="227">
        <v>0</v>
      </c>
      <c r="E70" s="226" t="s">
        <v>567</v>
      </c>
      <c r="F70" s="226">
        <v>0</v>
      </c>
      <c r="G70" s="226" t="s">
        <v>667</v>
      </c>
      <c r="H70" s="226" t="s">
        <v>803</v>
      </c>
      <c r="I70" s="226" t="s">
        <v>743</v>
      </c>
      <c r="J70" s="226" t="s">
        <v>865</v>
      </c>
      <c r="K70" s="226" t="s">
        <v>2130</v>
      </c>
    </row>
    <row r="71" spans="1:11" ht="26" x14ac:dyDescent="0.2">
      <c r="A71" s="226">
        <v>178</v>
      </c>
      <c r="B71" s="226" t="s">
        <v>343</v>
      </c>
      <c r="C71" s="226" t="s">
        <v>37</v>
      </c>
      <c r="D71" s="227">
        <v>0</v>
      </c>
      <c r="E71" s="226" t="s">
        <v>589</v>
      </c>
      <c r="F71" s="226">
        <v>0</v>
      </c>
      <c r="G71" s="226" t="s">
        <v>646</v>
      </c>
      <c r="H71" s="226" t="s">
        <v>806</v>
      </c>
      <c r="I71" s="226">
        <v>0</v>
      </c>
      <c r="J71" s="226" t="s">
        <v>868</v>
      </c>
      <c r="K71" s="226" t="s">
        <v>2132</v>
      </c>
    </row>
    <row r="72" spans="1:11" ht="26" x14ac:dyDescent="0.2">
      <c r="A72" s="226">
        <v>180</v>
      </c>
      <c r="B72" s="226" t="s">
        <v>345</v>
      </c>
      <c r="C72" s="226" t="s">
        <v>39</v>
      </c>
      <c r="D72" s="227">
        <v>0</v>
      </c>
      <c r="E72" s="226" t="s">
        <v>591</v>
      </c>
      <c r="F72" s="226">
        <v>0</v>
      </c>
      <c r="G72" s="226" t="s">
        <v>620</v>
      </c>
      <c r="H72" s="226">
        <v>0</v>
      </c>
      <c r="I72" s="226">
        <v>0</v>
      </c>
      <c r="J72" s="226" t="s">
        <v>868</v>
      </c>
      <c r="K72" s="226" t="s">
        <v>2133</v>
      </c>
    </row>
    <row r="73" spans="1:11" ht="39" x14ac:dyDescent="0.2">
      <c r="A73" s="226">
        <v>182</v>
      </c>
      <c r="B73" s="226" t="s">
        <v>347</v>
      </c>
      <c r="C73" s="226" t="s">
        <v>2599</v>
      </c>
      <c r="D73" s="227">
        <v>0</v>
      </c>
      <c r="E73" s="226" t="s">
        <v>589</v>
      </c>
      <c r="F73" s="226">
        <v>0</v>
      </c>
      <c r="G73" s="226" t="s">
        <v>682</v>
      </c>
      <c r="H73" s="226" t="s">
        <v>807</v>
      </c>
      <c r="I73" s="226">
        <v>0</v>
      </c>
      <c r="J73" s="226" t="s">
        <v>868</v>
      </c>
      <c r="K73" s="226" t="s">
        <v>2134</v>
      </c>
    </row>
    <row r="74" spans="1:11" ht="26" x14ac:dyDescent="0.2">
      <c r="A74" s="226">
        <v>186</v>
      </c>
      <c r="B74" s="226" t="s">
        <v>351</v>
      </c>
      <c r="C74" s="226" t="s">
        <v>43</v>
      </c>
      <c r="D74" s="227">
        <v>0</v>
      </c>
      <c r="E74" s="226" t="s">
        <v>586</v>
      </c>
      <c r="F74" s="226">
        <v>0</v>
      </c>
      <c r="G74" s="226" t="s">
        <v>675</v>
      </c>
      <c r="H74" s="226" t="s">
        <v>698</v>
      </c>
      <c r="I74" s="226" t="s">
        <v>747</v>
      </c>
      <c r="J74" s="226" t="s">
        <v>870</v>
      </c>
      <c r="K74" s="226" t="s">
        <v>2137</v>
      </c>
    </row>
    <row r="75" spans="1:11" ht="26" x14ac:dyDescent="0.2">
      <c r="A75" s="226">
        <v>187</v>
      </c>
      <c r="B75" s="226" t="s">
        <v>352</v>
      </c>
      <c r="C75" s="226" t="s">
        <v>2601</v>
      </c>
      <c r="D75" s="227">
        <v>0</v>
      </c>
      <c r="E75" s="226" t="s">
        <v>586</v>
      </c>
      <c r="F75" s="226">
        <v>0</v>
      </c>
      <c r="G75" s="226" t="s">
        <v>615</v>
      </c>
      <c r="H75" s="226" t="s">
        <v>696</v>
      </c>
      <c r="I75" s="226" t="s">
        <v>748</v>
      </c>
      <c r="J75" s="226" t="s">
        <v>871</v>
      </c>
      <c r="K75" s="226">
        <v>12.8</v>
      </c>
    </row>
    <row r="76" spans="1:11" ht="26" x14ac:dyDescent="0.2">
      <c r="A76" s="226">
        <v>192</v>
      </c>
      <c r="B76" s="226" t="s">
        <v>357</v>
      </c>
      <c r="C76" s="226" t="s">
        <v>2602</v>
      </c>
      <c r="D76" s="227">
        <v>0</v>
      </c>
      <c r="E76" s="226" t="s">
        <v>590</v>
      </c>
      <c r="F76" s="226" t="s">
        <v>598</v>
      </c>
      <c r="G76" s="226" t="s">
        <v>673</v>
      </c>
      <c r="H76" s="226" t="s">
        <v>696</v>
      </c>
      <c r="I76" s="226">
        <v>0</v>
      </c>
      <c r="J76" s="226" t="s">
        <v>868</v>
      </c>
      <c r="K76" s="226" t="s">
        <v>2140</v>
      </c>
    </row>
    <row r="77" spans="1:11" ht="26" x14ac:dyDescent="0.2">
      <c r="A77" s="226">
        <v>193</v>
      </c>
      <c r="B77" s="226" t="s">
        <v>358</v>
      </c>
      <c r="C77" s="226" t="s">
        <v>45</v>
      </c>
      <c r="D77" s="227">
        <v>0</v>
      </c>
      <c r="E77" s="226" t="s">
        <v>590</v>
      </c>
      <c r="F77" s="226" t="s">
        <v>600</v>
      </c>
      <c r="G77" s="226" t="s">
        <v>678</v>
      </c>
      <c r="H77" s="226" t="s">
        <v>811</v>
      </c>
      <c r="I77" s="226" t="s">
        <v>750</v>
      </c>
      <c r="J77" s="226" t="s">
        <v>874</v>
      </c>
      <c r="K77" s="226">
        <v>12.6</v>
      </c>
    </row>
    <row r="78" spans="1:11" ht="39" x14ac:dyDescent="0.2">
      <c r="A78" s="226">
        <v>204</v>
      </c>
      <c r="B78" s="226" t="s">
        <v>369</v>
      </c>
      <c r="C78" s="226" t="s">
        <v>160</v>
      </c>
      <c r="D78" s="227">
        <v>0</v>
      </c>
      <c r="E78" s="226" t="s">
        <v>572</v>
      </c>
      <c r="F78" s="226">
        <v>0</v>
      </c>
      <c r="G78" s="226" t="s">
        <v>664</v>
      </c>
      <c r="H78" s="226" t="s">
        <v>812</v>
      </c>
      <c r="I78" s="226" t="s">
        <v>736</v>
      </c>
      <c r="J78" s="226" t="s">
        <v>827</v>
      </c>
      <c r="K78" s="226">
        <v>0</v>
      </c>
    </row>
    <row r="79" spans="1:11" ht="26" x14ac:dyDescent="0.2">
      <c r="A79" s="226">
        <v>208</v>
      </c>
      <c r="B79" s="226" t="s">
        <v>373</v>
      </c>
      <c r="C79" s="226" t="s">
        <v>2097</v>
      </c>
      <c r="D79" s="227">
        <v>0</v>
      </c>
      <c r="E79" s="226" t="s">
        <v>589</v>
      </c>
      <c r="F79" s="226">
        <v>0</v>
      </c>
      <c r="G79" s="226" t="s">
        <v>646</v>
      </c>
      <c r="H79" s="226" t="s">
        <v>815</v>
      </c>
      <c r="I79" s="226" t="s">
        <v>756</v>
      </c>
      <c r="J79" s="226" t="s">
        <v>879</v>
      </c>
      <c r="K79" s="226">
        <v>11.2</v>
      </c>
    </row>
    <row r="80" spans="1:11" ht="26" x14ac:dyDescent="0.2">
      <c r="A80" s="226">
        <v>211</v>
      </c>
      <c r="B80" s="226" t="s">
        <v>376</v>
      </c>
      <c r="C80" s="226" t="s">
        <v>2098</v>
      </c>
      <c r="D80" s="227">
        <v>0</v>
      </c>
      <c r="E80" s="226" t="s">
        <v>589</v>
      </c>
      <c r="F80" s="226">
        <v>0</v>
      </c>
      <c r="G80" s="226">
        <v>0</v>
      </c>
      <c r="H80" s="226" t="s">
        <v>815</v>
      </c>
      <c r="I80" s="226" t="s">
        <v>756</v>
      </c>
      <c r="J80" s="226" t="s">
        <v>879</v>
      </c>
      <c r="K80" s="226">
        <v>11.2</v>
      </c>
    </row>
    <row r="81" spans="1:11" ht="26" x14ac:dyDescent="0.2">
      <c r="A81" s="226">
        <v>212</v>
      </c>
      <c r="B81" s="226" t="s">
        <v>377</v>
      </c>
      <c r="C81" s="226" t="s">
        <v>2626</v>
      </c>
      <c r="D81" s="227">
        <v>0</v>
      </c>
      <c r="E81" s="226" t="s">
        <v>589</v>
      </c>
      <c r="F81" s="226">
        <v>0</v>
      </c>
      <c r="G81" s="226">
        <v>0</v>
      </c>
      <c r="H81" s="226" t="s">
        <v>815</v>
      </c>
      <c r="I81" s="226">
        <v>0</v>
      </c>
      <c r="J81" s="226" t="s">
        <v>879</v>
      </c>
      <c r="K81" s="226">
        <v>11.2</v>
      </c>
    </row>
    <row r="82" spans="1:11" ht="65" x14ac:dyDescent="0.2">
      <c r="A82" s="226">
        <v>216</v>
      </c>
      <c r="B82" s="226" t="s">
        <v>381</v>
      </c>
      <c r="C82" s="226" t="s">
        <v>528</v>
      </c>
      <c r="D82" s="227">
        <v>0</v>
      </c>
      <c r="E82" s="226" t="s">
        <v>592</v>
      </c>
      <c r="F82" s="226">
        <v>0</v>
      </c>
      <c r="G82" s="226" t="s">
        <v>684</v>
      </c>
      <c r="H82" s="226" t="s">
        <v>815</v>
      </c>
      <c r="I82" s="226" t="s">
        <v>756</v>
      </c>
      <c r="J82" s="226" t="s">
        <v>879</v>
      </c>
      <c r="K82" s="226" t="s">
        <v>2143</v>
      </c>
    </row>
    <row r="83" spans="1:11" ht="39" x14ac:dyDescent="0.2">
      <c r="A83" s="226">
        <v>219</v>
      </c>
      <c r="B83" s="226" t="s">
        <v>384</v>
      </c>
      <c r="C83" s="226" t="s">
        <v>134</v>
      </c>
      <c r="D83" s="227">
        <v>0</v>
      </c>
      <c r="E83" s="226" t="s">
        <v>590</v>
      </c>
      <c r="F83" s="226" t="s">
        <v>602</v>
      </c>
      <c r="G83" s="226" t="s">
        <v>615</v>
      </c>
      <c r="H83" s="226" t="s">
        <v>696</v>
      </c>
      <c r="I83" s="226">
        <v>0</v>
      </c>
      <c r="J83" s="226">
        <v>0</v>
      </c>
      <c r="K83" s="226">
        <v>0</v>
      </c>
    </row>
    <row r="84" spans="1:11" ht="52" x14ac:dyDescent="0.2">
      <c r="A84" s="226">
        <v>220</v>
      </c>
      <c r="B84" s="226" t="s">
        <v>385</v>
      </c>
      <c r="C84" s="226" t="s">
        <v>135</v>
      </c>
      <c r="D84" s="227">
        <v>0</v>
      </c>
      <c r="E84" s="226" t="s">
        <v>567</v>
      </c>
      <c r="F84" s="226">
        <v>0</v>
      </c>
      <c r="G84" s="226" t="s">
        <v>615</v>
      </c>
      <c r="H84" s="226" t="s">
        <v>696</v>
      </c>
      <c r="I84" s="226">
        <v>0</v>
      </c>
      <c r="J84" s="226">
        <v>0</v>
      </c>
      <c r="K84" s="226">
        <v>0</v>
      </c>
    </row>
    <row r="85" spans="1:11" ht="39" x14ac:dyDescent="0.2">
      <c r="A85" s="226">
        <v>222</v>
      </c>
      <c r="B85" s="226" t="s">
        <v>387</v>
      </c>
      <c r="C85" s="226" t="s">
        <v>137</v>
      </c>
      <c r="D85" s="227">
        <v>0</v>
      </c>
      <c r="E85" s="226" t="s">
        <v>586</v>
      </c>
      <c r="F85" s="226" t="s">
        <v>689</v>
      </c>
      <c r="G85" s="226" t="s">
        <v>688</v>
      </c>
      <c r="H85" s="226" t="s">
        <v>696</v>
      </c>
      <c r="I85" s="226" t="s">
        <v>760</v>
      </c>
      <c r="J85" s="226" t="s">
        <v>882</v>
      </c>
      <c r="K85" s="226">
        <v>12.8</v>
      </c>
    </row>
    <row r="86" spans="1:11" ht="26" x14ac:dyDescent="0.2">
      <c r="A86" s="226">
        <v>223</v>
      </c>
      <c r="B86" s="226" t="s">
        <v>388</v>
      </c>
      <c r="C86" s="226" t="s">
        <v>138</v>
      </c>
      <c r="D86" s="227">
        <v>0</v>
      </c>
      <c r="E86" s="226" t="s">
        <v>567</v>
      </c>
      <c r="F86" s="226" t="s">
        <v>598</v>
      </c>
      <c r="G86" s="226">
        <v>0</v>
      </c>
      <c r="H86" s="226" t="s">
        <v>696</v>
      </c>
      <c r="I86" s="226">
        <v>0</v>
      </c>
      <c r="J86" s="226">
        <v>0</v>
      </c>
      <c r="K86" s="226">
        <v>12.2</v>
      </c>
    </row>
    <row r="87" spans="1:11" ht="52" x14ac:dyDescent="0.2">
      <c r="A87" s="226">
        <v>230</v>
      </c>
      <c r="B87" s="226" t="s">
        <v>395</v>
      </c>
      <c r="C87" s="226" t="s">
        <v>59</v>
      </c>
      <c r="D87" s="227">
        <v>0</v>
      </c>
      <c r="E87" s="226" t="s">
        <v>576</v>
      </c>
      <c r="F87" s="226" t="s">
        <v>695</v>
      </c>
      <c r="G87" s="226" t="s">
        <v>632</v>
      </c>
      <c r="H87" s="226" t="s">
        <v>696</v>
      </c>
      <c r="I87" s="226" t="s">
        <v>712</v>
      </c>
      <c r="J87" s="226" t="s">
        <v>837</v>
      </c>
      <c r="K87" s="226" t="s">
        <v>2113</v>
      </c>
    </row>
    <row r="88" spans="1:11" ht="39" x14ac:dyDescent="0.2">
      <c r="A88" s="226">
        <v>250</v>
      </c>
      <c r="B88" s="226" t="s">
        <v>415</v>
      </c>
      <c r="C88" s="226" t="s">
        <v>71</v>
      </c>
      <c r="D88" s="227">
        <v>0</v>
      </c>
      <c r="E88" s="226" t="s">
        <v>569</v>
      </c>
      <c r="F88" s="226">
        <v>0</v>
      </c>
      <c r="G88" s="226" t="s">
        <v>615</v>
      </c>
      <c r="H88" s="226" t="s">
        <v>696</v>
      </c>
      <c r="I88" s="226">
        <v>0</v>
      </c>
      <c r="J88" s="226">
        <v>0</v>
      </c>
      <c r="K88" s="226">
        <v>12.8</v>
      </c>
    </row>
    <row r="89" spans="1:11" ht="26" x14ac:dyDescent="0.2">
      <c r="A89" s="226">
        <v>253</v>
      </c>
      <c r="B89" s="226" t="s">
        <v>418</v>
      </c>
      <c r="C89" s="226" t="s">
        <v>74</v>
      </c>
      <c r="D89" s="227">
        <v>0</v>
      </c>
      <c r="E89" s="226">
        <v>0</v>
      </c>
      <c r="F89" s="226">
        <v>0</v>
      </c>
      <c r="G89" s="226">
        <v>0</v>
      </c>
      <c r="H89" s="226" t="s">
        <v>696</v>
      </c>
      <c r="I89" s="226">
        <v>0</v>
      </c>
      <c r="J89" s="226">
        <v>0</v>
      </c>
      <c r="K89" s="226">
        <v>12.8</v>
      </c>
    </row>
    <row r="90" spans="1:11" ht="26" x14ac:dyDescent="0.2">
      <c r="A90" s="226">
        <v>256</v>
      </c>
      <c r="B90" s="226" t="s">
        <v>421</v>
      </c>
      <c r="C90" s="226" t="s">
        <v>77</v>
      </c>
      <c r="D90" s="227">
        <v>0</v>
      </c>
      <c r="E90" s="226" t="s">
        <v>569</v>
      </c>
      <c r="F90" s="226">
        <v>0</v>
      </c>
      <c r="G90" s="226">
        <v>0</v>
      </c>
      <c r="H90" s="226" t="s">
        <v>696</v>
      </c>
      <c r="I90" s="226">
        <v>0</v>
      </c>
      <c r="J90" s="226">
        <v>0</v>
      </c>
      <c r="K90" s="226">
        <v>12.8</v>
      </c>
    </row>
    <row r="91" spans="1:11" ht="26" x14ac:dyDescent="0.2">
      <c r="A91" s="226">
        <v>263</v>
      </c>
      <c r="B91" s="226" t="s">
        <v>179</v>
      </c>
      <c r="C91" s="226" t="s">
        <v>892</v>
      </c>
      <c r="D91" s="227">
        <v>0</v>
      </c>
      <c r="E91" s="226">
        <v>0</v>
      </c>
      <c r="F91" s="226">
        <v>0</v>
      </c>
      <c r="G91" s="226">
        <v>0</v>
      </c>
      <c r="H91" s="226">
        <v>0</v>
      </c>
      <c r="I91" s="226">
        <v>0</v>
      </c>
      <c r="J91" s="226">
        <v>0</v>
      </c>
      <c r="K91" s="226">
        <v>0</v>
      </c>
    </row>
    <row r="92" spans="1:11" ht="26" x14ac:dyDescent="0.2">
      <c r="A92" s="226">
        <v>264</v>
      </c>
      <c r="B92" s="226" t="s">
        <v>180</v>
      </c>
      <c r="C92" s="226" t="s">
        <v>893</v>
      </c>
      <c r="D92" s="227">
        <v>0</v>
      </c>
      <c r="E92" s="226">
        <v>0</v>
      </c>
      <c r="F92" s="226">
        <v>0</v>
      </c>
      <c r="G92" s="226" t="s">
        <v>617</v>
      </c>
      <c r="H92" s="226">
        <v>0</v>
      </c>
      <c r="I92" s="226">
        <v>0</v>
      </c>
      <c r="J92" s="226">
        <v>0</v>
      </c>
      <c r="K92" s="226" t="s">
        <v>2107</v>
      </c>
    </row>
    <row r="93" spans="1:11" ht="52" x14ac:dyDescent="0.2">
      <c r="A93" s="226">
        <v>266</v>
      </c>
      <c r="B93" s="226" t="s">
        <v>429</v>
      </c>
      <c r="C93" s="226" t="s">
        <v>894</v>
      </c>
      <c r="D93" s="227">
        <v>0</v>
      </c>
      <c r="E93" s="226">
        <v>0</v>
      </c>
      <c r="F93" s="226">
        <v>0</v>
      </c>
      <c r="G93" s="226" t="s">
        <v>617</v>
      </c>
      <c r="H93" s="226">
        <v>0</v>
      </c>
      <c r="I93" s="226">
        <v>0</v>
      </c>
      <c r="J93" s="226">
        <v>0</v>
      </c>
      <c r="K93" s="226">
        <v>12.8</v>
      </c>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70"/>
      <c r="B361" s="70"/>
      <c r="C361" s="70"/>
      <c r="D361" s="70"/>
      <c r="E361" s="70"/>
      <c r="F361" s="70"/>
      <c r="G361" s="70"/>
      <c r="H361" s="70"/>
      <c r="I361" s="70"/>
      <c r="J361" s="70"/>
    </row>
    <row r="362" spans="1:11" ht="16" x14ac:dyDescent="0.2">
      <c r="A362" s="70"/>
      <c r="B362" s="70"/>
      <c r="C362" s="70"/>
      <c r="D362" s="70"/>
      <c r="E362" s="70"/>
      <c r="F362" s="70"/>
      <c r="G362" s="70"/>
      <c r="H362" s="70"/>
      <c r="I362" s="70"/>
      <c r="J362" s="70"/>
    </row>
    <row r="363" spans="1:11" ht="16" x14ac:dyDescent="0.2">
      <c r="A363" s="70"/>
      <c r="B363" s="70"/>
      <c r="C363" s="70"/>
      <c r="D363" s="70"/>
      <c r="E363" s="70"/>
      <c r="F363" s="70"/>
      <c r="G363" s="70"/>
      <c r="H363" s="70"/>
      <c r="I363" s="70"/>
      <c r="J363" s="70"/>
    </row>
    <row r="364" spans="1:11" ht="16" x14ac:dyDescent="0.2">
      <c r="A364" s="70"/>
      <c r="B364" s="70"/>
      <c r="C364" s="70"/>
      <c r="D364" s="70"/>
      <c r="E364" s="70"/>
      <c r="F364" s="70"/>
      <c r="G364" s="70"/>
      <c r="H364" s="70"/>
      <c r="I364" s="70"/>
      <c r="J364" s="70"/>
    </row>
    <row r="365" spans="1:11" ht="16" x14ac:dyDescent="0.2">
      <c r="A365" s="70"/>
      <c r="B365" s="70"/>
      <c r="C365" s="70"/>
      <c r="D365" s="70"/>
      <c r="E365" s="70"/>
      <c r="F365" s="70"/>
      <c r="G365" s="70"/>
      <c r="H365" s="70"/>
      <c r="I365" s="70"/>
      <c r="J365" s="70"/>
    </row>
    <row r="366" spans="1:11" ht="16" x14ac:dyDescent="0.2">
      <c r="A366" s="70"/>
      <c r="B366" s="70"/>
      <c r="C366" s="70"/>
      <c r="D366" s="70"/>
      <c r="E366" s="70"/>
      <c r="F366" s="70"/>
      <c r="G366" s="70"/>
      <c r="H366" s="70"/>
      <c r="I366" s="70"/>
      <c r="J366" s="70"/>
    </row>
    <row r="367" spans="1:11" ht="16" x14ac:dyDescent="0.2">
      <c r="A367" s="70"/>
      <c r="B367" s="70"/>
      <c r="C367" s="70"/>
      <c r="D367" s="70"/>
      <c r="E367" s="70"/>
      <c r="F367" s="70"/>
      <c r="G367" s="70"/>
      <c r="H367" s="70"/>
      <c r="I367" s="70"/>
      <c r="J367" s="70"/>
    </row>
    <row r="368" spans="1:11" ht="16" x14ac:dyDescent="0.2">
      <c r="A368" s="70"/>
      <c r="B368" s="70"/>
      <c r="C368" s="70"/>
      <c r="D368" s="70"/>
      <c r="E368" s="70"/>
      <c r="F368" s="70"/>
      <c r="G368" s="70"/>
      <c r="H368" s="70"/>
      <c r="I368" s="70"/>
      <c r="J368" s="70"/>
    </row>
    <row r="369" spans="1:10" ht="16" x14ac:dyDescent="0.2">
      <c r="A369" s="70"/>
      <c r="B369" s="70"/>
      <c r="C369" s="70"/>
      <c r="D369" s="70"/>
      <c r="E369" s="70"/>
      <c r="F369" s="70"/>
      <c r="G369" s="70"/>
      <c r="H369" s="70"/>
      <c r="I369" s="70"/>
      <c r="J369" s="70"/>
    </row>
    <row r="370" spans="1:10" ht="16" x14ac:dyDescent="0.2">
      <c r="A370" s="70"/>
      <c r="B370" s="70"/>
      <c r="C370" s="70"/>
      <c r="D370" s="70"/>
      <c r="E370" s="70"/>
      <c r="F370" s="70"/>
      <c r="G370" s="70"/>
      <c r="H370" s="70"/>
      <c r="I370" s="70"/>
      <c r="J370" s="70"/>
    </row>
    <row r="371" spans="1:10" ht="16" x14ac:dyDescent="0.2">
      <c r="A371" s="70"/>
      <c r="B371" s="70"/>
      <c r="C371" s="70"/>
      <c r="D371" s="70"/>
      <c r="E371" s="70"/>
      <c r="F371" s="70"/>
      <c r="G371" s="70"/>
      <c r="H371" s="70"/>
      <c r="I371" s="70"/>
      <c r="J371" s="70"/>
    </row>
    <row r="372" spans="1:10" ht="16" x14ac:dyDescent="0.2">
      <c r="A372" s="70"/>
      <c r="B372" s="70"/>
      <c r="C372" s="70"/>
      <c r="D372" s="70"/>
      <c r="E372" s="70"/>
      <c r="F372" s="70"/>
      <c r="G372" s="70"/>
      <c r="H372" s="70"/>
      <c r="I372" s="70"/>
      <c r="J372" s="70"/>
    </row>
    <row r="373" spans="1:10" ht="16" x14ac:dyDescent="0.2">
      <c r="A373" s="70"/>
      <c r="B373" s="70"/>
      <c r="C373" s="70"/>
      <c r="D373" s="70"/>
      <c r="E373" s="70"/>
      <c r="F373" s="70"/>
      <c r="G373" s="70"/>
      <c r="H373" s="70"/>
      <c r="I373" s="70"/>
      <c r="J373" s="70"/>
    </row>
    <row r="374" spans="1:10" ht="16" x14ac:dyDescent="0.2">
      <c r="A374" s="70"/>
      <c r="B374" s="70"/>
      <c r="C374" s="70"/>
      <c r="D374" s="70"/>
      <c r="E374" s="70"/>
      <c r="F374" s="70"/>
      <c r="G374" s="70"/>
      <c r="H374" s="70"/>
      <c r="I374" s="70"/>
      <c r="J374" s="70"/>
    </row>
    <row r="375" spans="1:10" ht="16" x14ac:dyDescent="0.2">
      <c r="A375" s="70"/>
      <c r="B375" s="70"/>
      <c r="C375" s="70"/>
      <c r="D375" s="70"/>
      <c r="E375" s="70"/>
      <c r="F375" s="70"/>
      <c r="G375" s="70"/>
      <c r="H375" s="70"/>
      <c r="I375" s="70"/>
      <c r="J375" s="70"/>
    </row>
    <row r="376" spans="1:10" ht="16" x14ac:dyDescent="0.2">
      <c r="A376" s="70"/>
      <c r="B376" s="70"/>
      <c r="C376" s="70"/>
      <c r="D376" s="70"/>
      <c r="E376" s="70"/>
      <c r="F376" s="70"/>
      <c r="G376" s="70"/>
      <c r="H376" s="70"/>
      <c r="I376" s="70"/>
      <c r="J376" s="70"/>
    </row>
    <row r="377" spans="1:10" ht="16" x14ac:dyDescent="0.2">
      <c r="A377" s="70"/>
      <c r="B377" s="70"/>
      <c r="C377" s="70"/>
      <c r="D377" s="70"/>
      <c r="E377" s="70"/>
      <c r="F377" s="70"/>
      <c r="G377" s="70"/>
      <c r="H377" s="70"/>
      <c r="I377" s="70"/>
      <c r="J377" s="70"/>
    </row>
    <row r="378" spans="1:10" ht="16" x14ac:dyDescent="0.2">
      <c r="A378" s="70"/>
      <c r="B378" s="70"/>
      <c r="C378" s="70"/>
      <c r="D378" s="70"/>
      <c r="E378" s="70"/>
      <c r="F378" s="70"/>
      <c r="G378" s="70"/>
      <c r="H378" s="70"/>
      <c r="I378" s="70"/>
      <c r="J378" s="70"/>
    </row>
    <row r="379" spans="1:10" ht="16" x14ac:dyDescent="0.2">
      <c r="A379" s="70"/>
      <c r="B379" s="70"/>
      <c r="C379" s="70"/>
      <c r="D379" s="70"/>
      <c r="E379" s="70"/>
      <c r="F379" s="70"/>
      <c r="G379" s="70"/>
      <c r="H379" s="70"/>
      <c r="I379" s="70"/>
      <c r="J379" s="70"/>
    </row>
    <row r="380" spans="1:10" ht="16" x14ac:dyDescent="0.2">
      <c r="A380" s="70"/>
      <c r="B380" s="70"/>
      <c r="C380" s="70"/>
      <c r="D380" s="70"/>
      <c r="E380" s="70"/>
      <c r="F380" s="70"/>
      <c r="G380" s="70"/>
      <c r="H380" s="70"/>
      <c r="I380" s="70"/>
      <c r="J380" s="70"/>
    </row>
    <row r="381" spans="1:10" ht="16" x14ac:dyDescent="0.2">
      <c r="A381" s="70"/>
      <c r="B381" s="70"/>
      <c r="C381" s="70"/>
      <c r="D381" s="70"/>
      <c r="E381" s="70"/>
      <c r="F381" s="70"/>
      <c r="G381" s="70"/>
      <c r="H381" s="70"/>
      <c r="I381" s="70"/>
      <c r="J381" s="70"/>
    </row>
    <row r="382" spans="1:10" ht="16" x14ac:dyDescent="0.2">
      <c r="A382" s="70"/>
      <c r="B382" s="70"/>
      <c r="C382" s="70"/>
      <c r="D382" s="70"/>
      <c r="E382" s="70"/>
      <c r="F382" s="70"/>
      <c r="G382" s="70"/>
      <c r="H382" s="70"/>
      <c r="I382" s="70"/>
      <c r="J382" s="70"/>
    </row>
    <row r="383" spans="1:10" ht="16" x14ac:dyDescent="0.2">
      <c r="A383" s="70"/>
      <c r="B383" s="70"/>
      <c r="C383" s="70"/>
      <c r="D383" s="70"/>
      <c r="E383" s="70"/>
      <c r="F383" s="70"/>
      <c r="G383" s="70"/>
      <c r="H383" s="70"/>
      <c r="I383" s="70"/>
      <c r="J383" s="70"/>
    </row>
    <row r="384" spans="1:10" ht="16" x14ac:dyDescent="0.2">
      <c r="A384" s="70"/>
      <c r="B384" s="70"/>
      <c r="C384" s="70"/>
      <c r="D384" s="70"/>
      <c r="E384" s="70"/>
      <c r="F384" s="70"/>
      <c r="G384" s="70"/>
      <c r="H384" s="70"/>
      <c r="I384" s="70"/>
      <c r="J384" s="70"/>
    </row>
    <row r="385" spans="1:10" ht="16" x14ac:dyDescent="0.2">
      <c r="A385" s="70"/>
      <c r="B385" s="70"/>
      <c r="C385" s="70"/>
      <c r="D385" s="70"/>
      <c r="E385" s="70"/>
      <c r="F385" s="70"/>
      <c r="G385" s="70"/>
      <c r="H385" s="70"/>
      <c r="I385" s="70"/>
      <c r="J385" s="70"/>
    </row>
    <row r="386" spans="1:10" ht="16" x14ac:dyDescent="0.2">
      <c r="A386" s="70"/>
      <c r="B386" s="70"/>
      <c r="C386" s="70"/>
      <c r="D386" s="70"/>
      <c r="E386" s="70"/>
      <c r="F386" s="70"/>
      <c r="G386" s="70"/>
      <c r="H386" s="70"/>
      <c r="I386" s="70"/>
      <c r="J386" s="70"/>
    </row>
    <row r="387" spans="1:10" ht="16" x14ac:dyDescent="0.2">
      <c r="A387" s="70"/>
      <c r="B387" s="70"/>
      <c r="C387" s="70"/>
      <c r="D387" s="70"/>
      <c r="E387" s="70"/>
      <c r="F387" s="70"/>
      <c r="G387" s="70"/>
      <c r="H387" s="70"/>
      <c r="I387" s="70"/>
      <c r="J387" s="70"/>
    </row>
    <row r="388" spans="1:10" ht="16" x14ac:dyDescent="0.2">
      <c r="A388" s="70"/>
      <c r="B388" s="70"/>
      <c r="C388" s="70"/>
      <c r="D388" s="70"/>
      <c r="E388" s="70"/>
      <c r="F388" s="70"/>
      <c r="G388" s="70"/>
      <c r="H388" s="70"/>
      <c r="I388" s="70"/>
      <c r="J388" s="70"/>
    </row>
    <row r="389" spans="1:10" ht="16" x14ac:dyDescent="0.2">
      <c r="A389" s="70"/>
      <c r="B389" s="70"/>
      <c r="C389" s="70"/>
      <c r="D389" s="70"/>
      <c r="E389" s="70"/>
      <c r="F389" s="70"/>
      <c r="G389" s="70"/>
      <c r="H389" s="70"/>
      <c r="I389" s="70"/>
      <c r="J389" s="70"/>
    </row>
    <row r="390" spans="1:10" ht="16" x14ac:dyDescent="0.2">
      <c r="A390" s="70"/>
      <c r="B390" s="70"/>
      <c r="C390" s="70"/>
      <c r="D390" s="70"/>
      <c r="E390" s="70"/>
      <c r="F390" s="70"/>
      <c r="G390" s="70"/>
      <c r="H390" s="70"/>
      <c r="I390" s="70"/>
      <c r="J390" s="70"/>
    </row>
    <row r="391" spans="1:10" ht="16" x14ac:dyDescent="0.2">
      <c r="A391" s="70"/>
      <c r="B391" s="70"/>
      <c r="C391" s="70"/>
      <c r="D391" s="70"/>
      <c r="E391" s="70"/>
      <c r="F391" s="70"/>
      <c r="G391" s="70"/>
      <c r="H391" s="70"/>
      <c r="I391" s="70"/>
      <c r="J391" s="70"/>
    </row>
    <row r="392" spans="1:10" ht="16" x14ac:dyDescent="0.2">
      <c r="A392" s="70"/>
      <c r="B392" s="70"/>
      <c r="C392" s="70"/>
      <c r="D392" s="70"/>
      <c r="E392" s="70"/>
      <c r="F392" s="70"/>
      <c r="G392" s="70"/>
      <c r="H392" s="70"/>
      <c r="I392" s="70"/>
      <c r="J392" s="70"/>
    </row>
    <row r="393" spans="1:10" ht="16" x14ac:dyDescent="0.2">
      <c r="A393" s="70"/>
      <c r="B393" s="70"/>
      <c r="C393" s="70"/>
      <c r="D393" s="70"/>
      <c r="E393" s="70"/>
      <c r="F393" s="70"/>
      <c r="G393" s="70"/>
      <c r="H393" s="70"/>
      <c r="I393" s="70"/>
      <c r="J393" s="70"/>
    </row>
    <row r="394" spans="1:10" ht="16" x14ac:dyDescent="0.2">
      <c r="A394" s="70"/>
      <c r="B394" s="70"/>
      <c r="C394" s="70"/>
      <c r="D394" s="70"/>
      <c r="E394" s="70"/>
      <c r="F394" s="70"/>
      <c r="G394" s="70"/>
      <c r="H394" s="70"/>
      <c r="I394" s="70"/>
      <c r="J394" s="70"/>
    </row>
    <row r="395" spans="1:10" ht="16" x14ac:dyDescent="0.2">
      <c r="A395" s="70"/>
      <c r="B395" s="70"/>
      <c r="C395" s="70"/>
      <c r="D395" s="70"/>
      <c r="E395" s="70"/>
      <c r="F395" s="70"/>
      <c r="G395" s="70"/>
      <c r="H395" s="70"/>
      <c r="I395" s="70"/>
      <c r="J395" s="70"/>
    </row>
    <row r="396" spans="1:10" ht="16" x14ac:dyDescent="0.2">
      <c r="A396" s="70"/>
      <c r="B396" s="70"/>
      <c r="C396" s="70"/>
      <c r="D396" s="70"/>
      <c r="E396" s="70"/>
      <c r="F396" s="70"/>
      <c r="G396" s="70"/>
      <c r="H396" s="70"/>
      <c r="I396" s="70"/>
      <c r="J396" s="70"/>
    </row>
    <row r="397" spans="1:10" ht="16" x14ac:dyDescent="0.2">
      <c r="A397" s="70"/>
      <c r="B397" s="70"/>
      <c r="C397" s="70"/>
      <c r="D397" s="70"/>
      <c r="E397" s="70"/>
      <c r="F397" s="70"/>
      <c r="G397" s="70"/>
      <c r="H397" s="70"/>
      <c r="I397" s="70"/>
      <c r="J397" s="70"/>
    </row>
    <row r="398" spans="1:10" ht="16" x14ac:dyDescent="0.2">
      <c r="A398" s="70"/>
      <c r="B398" s="70"/>
      <c r="C398" s="70"/>
      <c r="D398" s="70"/>
      <c r="E398" s="70"/>
      <c r="F398" s="70"/>
      <c r="G398" s="70"/>
      <c r="H398" s="70"/>
      <c r="I398" s="70"/>
      <c r="J398" s="70"/>
    </row>
    <row r="399" spans="1:10" ht="16" x14ac:dyDescent="0.2">
      <c r="A399" s="70"/>
      <c r="B399" s="70"/>
      <c r="C399" s="70"/>
      <c r="D399" s="70"/>
      <c r="E399" s="70"/>
      <c r="F399" s="70"/>
      <c r="G399" s="70"/>
      <c r="H399" s="70"/>
      <c r="I399" s="70"/>
      <c r="J399" s="70"/>
    </row>
    <row r="400" spans="1:10" ht="16" x14ac:dyDescent="0.2">
      <c r="A400" s="70"/>
      <c r="B400" s="70"/>
      <c r="C400" s="70"/>
      <c r="D400" s="70"/>
      <c r="E400" s="70"/>
      <c r="F400" s="70"/>
      <c r="G400" s="70"/>
      <c r="H400" s="70"/>
      <c r="I400" s="70"/>
      <c r="J400" s="70"/>
    </row>
    <row r="401" spans="1:10" ht="16" x14ac:dyDescent="0.2">
      <c r="A401" s="70"/>
      <c r="B401" s="70"/>
      <c r="C401" s="70"/>
      <c r="D401" s="70"/>
      <c r="E401" s="70"/>
      <c r="F401" s="70"/>
      <c r="G401" s="70"/>
      <c r="H401" s="70"/>
      <c r="I401" s="70"/>
      <c r="J401" s="70"/>
    </row>
    <row r="402" spans="1:10" ht="16" x14ac:dyDescent="0.2">
      <c r="A402" s="70"/>
      <c r="B402" s="70"/>
      <c r="C402" s="70"/>
      <c r="D402" s="70"/>
      <c r="E402" s="70"/>
      <c r="F402" s="70"/>
      <c r="G402" s="70"/>
      <c r="H402" s="70"/>
      <c r="I402" s="70"/>
      <c r="J402" s="70"/>
    </row>
    <row r="403" spans="1:10" ht="16" x14ac:dyDescent="0.2">
      <c r="A403" s="70"/>
      <c r="B403" s="70"/>
      <c r="C403" s="70"/>
      <c r="D403" s="70"/>
      <c r="E403" s="70"/>
      <c r="F403" s="70"/>
      <c r="G403" s="70"/>
      <c r="H403" s="70"/>
      <c r="I403" s="70"/>
      <c r="J403" s="70"/>
    </row>
    <row r="404" spans="1:10" ht="16" x14ac:dyDescent="0.2">
      <c r="A404" s="70"/>
      <c r="B404" s="70"/>
      <c r="C404" s="70"/>
      <c r="D404" s="70"/>
      <c r="E404" s="70"/>
      <c r="F404" s="70"/>
      <c r="G404" s="70"/>
      <c r="H404" s="70"/>
      <c r="I404" s="70"/>
      <c r="J404" s="70"/>
    </row>
    <row r="405" spans="1:10" ht="16" x14ac:dyDescent="0.2">
      <c r="A405" s="70"/>
      <c r="B405" s="70"/>
      <c r="C405" s="70"/>
      <c r="D405" s="70"/>
      <c r="E405" s="70"/>
      <c r="F405" s="70"/>
      <c r="G405" s="70"/>
      <c r="H405" s="70"/>
      <c r="I405" s="70"/>
      <c r="J405" s="70"/>
    </row>
    <row r="406" spans="1:10" ht="16" x14ac:dyDescent="0.2">
      <c r="A406" s="70"/>
      <c r="B406" s="70"/>
      <c r="C406" s="70"/>
      <c r="D406" s="70"/>
      <c r="E406" s="70"/>
      <c r="F406" s="70"/>
      <c r="G406" s="70"/>
      <c r="H406" s="70"/>
      <c r="I406" s="70"/>
      <c r="J406" s="70"/>
    </row>
    <row r="407" spans="1:10" ht="16" x14ac:dyDescent="0.2">
      <c r="A407" s="70"/>
      <c r="B407" s="70"/>
      <c r="C407" s="70"/>
      <c r="D407" s="70"/>
      <c r="E407" s="70"/>
      <c r="F407" s="70"/>
      <c r="G407" s="70"/>
      <c r="H407" s="70"/>
      <c r="I407" s="70"/>
      <c r="J407" s="70"/>
    </row>
    <row r="408" spans="1:10" ht="16" x14ac:dyDescent="0.2">
      <c r="A408" s="70"/>
      <c r="B408" s="70"/>
      <c r="C408" s="70"/>
      <c r="D408" s="70"/>
      <c r="E408" s="70"/>
      <c r="F408" s="70"/>
      <c r="G408" s="70"/>
      <c r="H408" s="70"/>
      <c r="I408" s="70"/>
      <c r="J408" s="70"/>
    </row>
    <row r="409" spans="1:10" ht="16" x14ac:dyDescent="0.2">
      <c r="A409" s="70"/>
      <c r="B409" s="70"/>
      <c r="C409" s="70"/>
      <c r="D409" s="70"/>
      <c r="E409" s="70"/>
      <c r="F409" s="70"/>
      <c r="G409" s="70"/>
      <c r="H409" s="70"/>
      <c r="I409" s="70"/>
      <c r="J409" s="70"/>
    </row>
    <row r="410" spans="1:10" ht="16" x14ac:dyDescent="0.2">
      <c r="A410" s="70"/>
      <c r="B410" s="70"/>
      <c r="C410" s="70"/>
      <c r="D410" s="70"/>
      <c r="E410" s="70"/>
      <c r="F410" s="70"/>
      <c r="G410" s="70"/>
      <c r="H410" s="70"/>
      <c r="I410" s="70"/>
      <c r="J410" s="70"/>
    </row>
    <row r="411" spans="1:10" ht="16" x14ac:dyDescent="0.2">
      <c r="A411" s="70"/>
      <c r="B411" s="70"/>
      <c r="C411" s="70"/>
      <c r="D411" s="70"/>
      <c r="E411" s="70"/>
      <c r="F411" s="70"/>
      <c r="G411" s="70"/>
      <c r="H411" s="70"/>
      <c r="I411" s="70"/>
      <c r="J411" s="70"/>
    </row>
    <row r="412" spans="1:10" ht="16" x14ac:dyDescent="0.2">
      <c r="A412" s="70"/>
      <c r="B412" s="70"/>
      <c r="C412" s="70"/>
      <c r="D412" s="70"/>
      <c r="E412" s="70"/>
      <c r="F412" s="70"/>
      <c r="G412" s="70"/>
      <c r="H412" s="70"/>
      <c r="I412" s="70"/>
      <c r="J412" s="70"/>
    </row>
    <row r="413" spans="1:10" ht="16" x14ac:dyDescent="0.2">
      <c r="A413" s="70"/>
      <c r="B413" s="70"/>
      <c r="C413" s="70"/>
      <c r="D413" s="70"/>
      <c r="E413" s="70"/>
      <c r="F413" s="70"/>
      <c r="G413" s="70"/>
      <c r="H413" s="70"/>
      <c r="I413" s="70"/>
      <c r="J413" s="70"/>
    </row>
    <row r="414" spans="1:10" ht="16" x14ac:dyDescent="0.2">
      <c r="A414" s="70"/>
      <c r="B414" s="70"/>
      <c r="C414" s="70"/>
      <c r="D414" s="70"/>
      <c r="E414" s="70"/>
      <c r="F414" s="70"/>
      <c r="G414" s="70"/>
      <c r="H414" s="70"/>
      <c r="I414" s="70"/>
      <c r="J414" s="70"/>
    </row>
    <row r="415" spans="1:10" ht="16" x14ac:dyDescent="0.2">
      <c r="A415" s="70"/>
      <c r="B415" s="70"/>
      <c r="C415" s="70"/>
      <c r="D415" s="70"/>
      <c r="E415" s="70"/>
      <c r="F415" s="70"/>
      <c r="G415" s="70"/>
      <c r="H415" s="70"/>
      <c r="I415" s="70"/>
      <c r="J415" s="70"/>
    </row>
    <row r="416" spans="1:10" ht="16" x14ac:dyDescent="0.2">
      <c r="A416" s="70"/>
      <c r="B416" s="70"/>
      <c r="C416" s="70"/>
      <c r="D416" s="70"/>
      <c r="E416" s="70"/>
      <c r="F416" s="70"/>
      <c r="G416" s="70"/>
      <c r="H416" s="70"/>
      <c r="I416" s="70"/>
      <c r="J416" s="70"/>
    </row>
    <row r="417" spans="1:10" ht="16" x14ac:dyDescent="0.2">
      <c r="A417" s="70"/>
      <c r="B417" s="70"/>
      <c r="C417" s="70"/>
      <c r="D417" s="70"/>
      <c r="E417" s="70"/>
      <c r="F417" s="70"/>
      <c r="G417" s="70"/>
      <c r="H417" s="70"/>
      <c r="I417" s="70"/>
      <c r="J417" s="70"/>
    </row>
    <row r="418" spans="1:10" ht="16" x14ac:dyDescent="0.2">
      <c r="A418" s="70"/>
      <c r="B418" s="70"/>
      <c r="C418" s="70"/>
      <c r="D418" s="70"/>
      <c r="E418" s="70"/>
      <c r="F418" s="70"/>
      <c r="G418" s="70"/>
      <c r="H418" s="70"/>
      <c r="I418" s="70"/>
      <c r="J418" s="70"/>
    </row>
    <row r="419" spans="1:10" ht="16" x14ac:dyDescent="0.2">
      <c r="A419" s="70"/>
      <c r="B419" s="70"/>
      <c r="C419" s="70"/>
      <c r="D419" s="70"/>
      <c r="E419" s="70"/>
      <c r="F419" s="70"/>
      <c r="G419" s="70"/>
      <c r="H419" s="70"/>
      <c r="I419" s="70"/>
      <c r="J419" s="70"/>
    </row>
    <row r="420" spans="1:10" ht="16" x14ac:dyDescent="0.2">
      <c r="A420" s="70"/>
      <c r="B420" s="70"/>
      <c r="C420" s="70"/>
      <c r="D420" s="70"/>
      <c r="E420" s="70"/>
      <c r="F420" s="70"/>
      <c r="G420" s="70"/>
      <c r="H420" s="70"/>
      <c r="I420" s="70"/>
      <c r="J420" s="70"/>
    </row>
    <row r="421" spans="1:10" ht="16" x14ac:dyDescent="0.2">
      <c r="A421" s="70"/>
      <c r="B421" s="70"/>
      <c r="C421" s="70"/>
      <c r="D421" s="70"/>
      <c r="E421" s="70"/>
      <c r="F421" s="70"/>
      <c r="G421" s="70"/>
      <c r="H421" s="70"/>
      <c r="I421" s="70"/>
      <c r="J421" s="70"/>
    </row>
    <row r="422" spans="1:10" ht="16" x14ac:dyDescent="0.2">
      <c r="A422" s="70"/>
      <c r="B422" s="70"/>
      <c r="C422" s="70"/>
      <c r="D422" s="70"/>
      <c r="E422" s="70"/>
      <c r="F422" s="70"/>
      <c r="G422" s="70"/>
      <c r="H422" s="70"/>
      <c r="I422" s="70"/>
      <c r="J422" s="70"/>
    </row>
    <row r="423" spans="1:10" ht="16" x14ac:dyDescent="0.2">
      <c r="A423" s="70"/>
      <c r="B423" s="70"/>
      <c r="C423" s="70"/>
      <c r="D423" s="70"/>
      <c r="E423" s="70"/>
      <c r="F423" s="70"/>
      <c r="G423" s="70"/>
      <c r="H423" s="70"/>
      <c r="I423" s="70"/>
      <c r="J423" s="70"/>
    </row>
    <row r="424" spans="1:10" ht="16" x14ac:dyDescent="0.2">
      <c r="A424" s="70"/>
      <c r="B424" s="70"/>
      <c r="C424" s="70"/>
      <c r="D424" s="70"/>
      <c r="E424" s="70"/>
      <c r="F424" s="70"/>
      <c r="G424" s="70"/>
      <c r="H424" s="70"/>
      <c r="I424" s="70"/>
      <c r="J424" s="70"/>
    </row>
    <row r="425" spans="1:10" ht="16" x14ac:dyDescent="0.2">
      <c r="A425" s="70"/>
      <c r="B425" s="70"/>
      <c r="C425" s="70"/>
      <c r="D425" s="70"/>
      <c r="E425" s="70"/>
      <c r="F425" s="70"/>
      <c r="G425" s="70"/>
      <c r="H425" s="70"/>
      <c r="I425" s="70"/>
      <c r="J425" s="70"/>
    </row>
    <row r="426" spans="1:10" ht="16" x14ac:dyDescent="0.2">
      <c r="A426" s="70"/>
      <c r="B426" s="70"/>
      <c r="C426" s="70"/>
      <c r="D426" s="70"/>
      <c r="E426" s="70"/>
      <c r="F426" s="70"/>
      <c r="G426" s="70"/>
      <c r="H426" s="70"/>
      <c r="I426" s="70"/>
      <c r="J426" s="70"/>
    </row>
    <row r="427" spans="1:10" ht="16" x14ac:dyDescent="0.2">
      <c r="A427" s="70"/>
      <c r="B427" s="70"/>
      <c r="C427" s="70"/>
      <c r="D427" s="70"/>
      <c r="E427" s="70"/>
      <c r="F427" s="70"/>
      <c r="G427" s="70"/>
      <c r="H427" s="70"/>
      <c r="I427" s="70"/>
      <c r="J427" s="70"/>
    </row>
    <row r="428" spans="1:10" ht="16" x14ac:dyDescent="0.2">
      <c r="A428" s="70"/>
      <c r="B428" s="70"/>
      <c r="C428" s="70"/>
      <c r="D428" s="70"/>
      <c r="E428" s="70"/>
      <c r="F428" s="70"/>
      <c r="G428" s="70"/>
      <c r="H428" s="70"/>
      <c r="I428" s="70"/>
      <c r="J428" s="70"/>
    </row>
    <row r="429" spans="1:10" ht="16" x14ac:dyDescent="0.2">
      <c r="A429" s="70"/>
      <c r="B429" s="70"/>
      <c r="C429" s="70"/>
      <c r="D429" s="70"/>
      <c r="E429" s="70"/>
      <c r="F429" s="70"/>
      <c r="G429" s="70"/>
      <c r="H429" s="70"/>
      <c r="I429" s="70"/>
      <c r="J429" s="70"/>
    </row>
    <row r="430" spans="1:10" ht="16" x14ac:dyDescent="0.2">
      <c r="A430" s="70"/>
      <c r="B430" s="70"/>
      <c r="C430" s="70"/>
      <c r="D430" s="70"/>
      <c r="E430" s="70"/>
      <c r="F430" s="70"/>
      <c r="G430" s="70"/>
      <c r="H430" s="70"/>
      <c r="I430" s="70"/>
      <c r="J430" s="70"/>
    </row>
    <row r="431" spans="1:10" ht="16" x14ac:dyDescent="0.2">
      <c r="A431" s="70"/>
      <c r="B431" s="70"/>
      <c r="C431" s="70"/>
      <c r="D431" s="70"/>
      <c r="E431" s="70"/>
      <c r="F431" s="70"/>
      <c r="G431" s="70"/>
      <c r="H431" s="70"/>
      <c r="I431" s="70"/>
      <c r="J431" s="70"/>
    </row>
    <row r="432" spans="1:10" ht="16" x14ac:dyDescent="0.2">
      <c r="A432" s="70"/>
      <c r="B432" s="70"/>
      <c r="C432" s="70"/>
      <c r="D432" s="70"/>
      <c r="E432" s="70"/>
      <c r="F432" s="70"/>
      <c r="G432" s="70"/>
      <c r="H432" s="70"/>
      <c r="I432" s="70"/>
      <c r="J432" s="70"/>
    </row>
    <row r="433" spans="1:10" ht="16" x14ac:dyDescent="0.2">
      <c r="A433" s="70"/>
      <c r="B433" s="70"/>
      <c r="C433" s="70"/>
      <c r="D433" s="70"/>
      <c r="E433" s="70"/>
      <c r="F433" s="70"/>
      <c r="G433" s="70"/>
      <c r="H433" s="70"/>
      <c r="I433" s="70"/>
      <c r="J433" s="70"/>
    </row>
    <row r="434" spans="1:10" ht="16" x14ac:dyDescent="0.2">
      <c r="A434" s="70"/>
      <c r="B434" s="70"/>
      <c r="C434" s="70"/>
      <c r="D434" s="70"/>
      <c r="E434" s="70"/>
      <c r="F434" s="70"/>
      <c r="G434" s="70"/>
      <c r="H434" s="70"/>
      <c r="I434" s="70"/>
      <c r="J434" s="70"/>
    </row>
    <row r="435" spans="1:10" ht="16" x14ac:dyDescent="0.2">
      <c r="A435" s="70"/>
      <c r="B435" s="70"/>
      <c r="C435" s="70"/>
      <c r="D435" s="70"/>
      <c r="E435" s="70"/>
      <c r="F435" s="70"/>
      <c r="G435" s="70"/>
      <c r="H435" s="70"/>
      <c r="I435" s="70"/>
      <c r="J435" s="70"/>
    </row>
    <row r="436" spans="1:10" ht="16" x14ac:dyDescent="0.2">
      <c r="A436" s="70"/>
      <c r="B436" s="70"/>
      <c r="C436" s="70"/>
      <c r="D436" s="70"/>
      <c r="E436" s="70"/>
      <c r="F436" s="70"/>
      <c r="G436" s="70"/>
      <c r="H436" s="70"/>
      <c r="I436" s="70"/>
      <c r="J436" s="70"/>
    </row>
    <row r="437" spans="1:10" ht="16" x14ac:dyDescent="0.2">
      <c r="A437" s="70"/>
      <c r="B437" s="70"/>
      <c r="C437" s="70"/>
      <c r="D437" s="70"/>
      <c r="E437" s="70"/>
      <c r="F437" s="70"/>
      <c r="G437" s="70"/>
      <c r="H437" s="70"/>
      <c r="I437" s="70"/>
      <c r="J437" s="70"/>
    </row>
    <row r="438" spans="1:10" ht="16" x14ac:dyDescent="0.2">
      <c r="A438" s="70"/>
      <c r="B438" s="70"/>
      <c r="C438" s="70"/>
      <c r="D438" s="70"/>
      <c r="E438" s="70"/>
      <c r="F438" s="70"/>
      <c r="G438" s="70"/>
      <c r="H438" s="70"/>
      <c r="I438" s="70"/>
      <c r="J438" s="70"/>
    </row>
    <row r="439" spans="1:10" ht="16" x14ac:dyDescent="0.2">
      <c r="A439" s="70"/>
      <c r="B439" s="70"/>
      <c r="C439" s="70"/>
      <c r="D439" s="70"/>
      <c r="E439" s="70"/>
      <c r="F439" s="70"/>
      <c r="G439" s="70"/>
      <c r="H439" s="70"/>
      <c r="I439" s="70"/>
      <c r="J439" s="70"/>
    </row>
    <row r="440" spans="1:10" ht="16" x14ac:dyDescent="0.2">
      <c r="A440" s="70"/>
      <c r="B440" s="70"/>
      <c r="C440" s="70"/>
      <c r="D440" s="70"/>
      <c r="E440" s="70"/>
      <c r="F440" s="70"/>
      <c r="G440" s="70"/>
      <c r="H440" s="70"/>
      <c r="I440" s="70"/>
      <c r="J440" s="70"/>
    </row>
    <row r="441" spans="1:10" ht="16" x14ac:dyDescent="0.2">
      <c r="A441" s="70"/>
      <c r="B441" s="70"/>
      <c r="C441" s="70"/>
      <c r="D441" s="70"/>
      <c r="E441" s="70"/>
      <c r="F441" s="70"/>
      <c r="G441" s="70"/>
      <c r="H441" s="70"/>
      <c r="I441" s="70"/>
      <c r="J441" s="70"/>
    </row>
    <row r="442" spans="1:10" ht="16" x14ac:dyDescent="0.2">
      <c r="A442" s="70"/>
      <c r="B442" s="70"/>
      <c r="C442" s="70"/>
      <c r="D442" s="70"/>
      <c r="E442" s="70"/>
      <c r="F442" s="70"/>
      <c r="G442" s="70"/>
      <c r="H442" s="70"/>
      <c r="I442" s="70"/>
      <c r="J442" s="70"/>
    </row>
    <row r="443" spans="1:10" ht="16" x14ac:dyDescent="0.2">
      <c r="A443" s="70"/>
      <c r="B443" s="70"/>
      <c r="C443" s="70"/>
      <c r="D443" s="70"/>
      <c r="E443" s="70"/>
      <c r="F443" s="70"/>
      <c r="G443" s="70"/>
      <c r="H443" s="70"/>
      <c r="I443" s="70"/>
      <c r="J443" s="70"/>
    </row>
    <row r="444" spans="1:10" ht="16" x14ac:dyDescent="0.2">
      <c r="A444" s="70"/>
      <c r="B444" s="70"/>
      <c r="C444" s="70"/>
      <c r="D444" s="70"/>
      <c r="E444" s="70"/>
      <c r="F444" s="70"/>
      <c r="G444" s="70"/>
      <c r="H444" s="70"/>
      <c r="I444" s="70"/>
      <c r="J444" s="70"/>
    </row>
    <row r="445" spans="1:10" ht="16" x14ac:dyDescent="0.2">
      <c r="A445" s="70"/>
      <c r="B445" s="70"/>
      <c r="C445" s="70"/>
      <c r="D445" s="70"/>
      <c r="E445" s="70"/>
      <c r="F445" s="70"/>
      <c r="G445" s="70"/>
      <c r="H445" s="70"/>
      <c r="I445" s="70"/>
      <c r="J445" s="70"/>
    </row>
    <row r="446" spans="1:10" ht="16" x14ac:dyDescent="0.2">
      <c r="A446" s="70"/>
      <c r="B446" s="70"/>
      <c r="C446" s="70"/>
      <c r="D446" s="70"/>
      <c r="E446" s="70"/>
      <c r="F446" s="70"/>
      <c r="G446" s="70"/>
      <c r="H446" s="70"/>
      <c r="I446" s="70"/>
      <c r="J446" s="70"/>
    </row>
    <row r="447" spans="1:10" ht="16" x14ac:dyDescent="0.2">
      <c r="A447" s="70"/>
      <c r="B447" s="70"/>
      <c r="C447" s="70"/>
      <c r="D447" s="70"/>
      <c r="E447" s="70"/>
      <c r="F447" s="70"/>
      <c r="G447" s="70"/>
      <c r="H447" s="70"/>
      <c r="I447" s="70"/>
      <c r="J447" s="70"/>
    </row>
    <row r="448" spans="1:10" ht="16" x14ac:dyDescent="0.2">
      <c r="A448" s="70"/>
      <c r="B448" s="70"/>
      <c r="C448" s="70"/>
      <c r="D448" s="70"/>
      <c r="E448" s="70"/>
      <c r="F448" s="70"/>
      <c r="G448" s="70"/>
      <c r="H448" s="70"/>
      <c r="I448" s="70"/>
      <c r="J448" s="70"/>
    </row>
    <row r="449" spans="1:10" ht="16" x14ac:dyDescent="0.2">
      <c r="A449" s="70"/>
      <c r="B449" s="70"/>
      <c r="C449" s="70"/>
      <c r="D449" s="70"/>
      <c r="E449" s="70"/>
      <c r="F449" s="70"/>
      <c r="G449" s="70"/>
      <c r="H449" s="70"/>
      <c r="I449" s="70"/>
      <c r="J449" s="70"/>
    </row>
    <row r="450" spans="1:10" ht="16" x14ac:dyDescent="0.2">
      <c r="A450" s="70"/>
      <c r="B450" s="70"/>
      <c r="C450" s="70"/>
      <c r="D450" s="70"/>
      <c r="E450" s="70"/>
      <c r="F450" s="70"/>
      <c r="G450" s="70"/>
      <c r="H450" s="70"/>
      <c r="I450" s="70"/>
      <c r="J450" s="70"/>
    </row>
    <row r="451" spans="1:10" ht="16" x14ac:dyDescent="0.2">
      <c r="A451" s="70"/>
      <c r="B451" s="70"/>
      <c r="C451" s="70"/>
      <c r="D451" s="70"/>
      <c r="E451" s="70"/>
      <c r="F451" s="70"/>
      <c r="G451" s="70"/>
      <c r="H451" s="70"/>
      <c r="I451" s="70"/>
      <c r="J451" s="70"/>
    </row>
    <row r="452" spans="1:10" ht="16" x14ac:dyDescent="0.2">
      <c r="A452" s="70"/>
      <c r="B452" s="70"/>
      <c r="C452" s="70"/>
      <c r="D452" s="70"/>
      <c r="E452" s="70"/>
      <c r="F452" s="70"/>
      <c r="G452" s="70"/>
      <c r="H452" s="70"/>
      <c r="I452" s="70"/>
      <c r="J452" s="70"/>
    </row>
    <row r="453" spans="1:10" ht="16" x14ac:dyDescent="0.2">
      <c r="A453" s="70"/>
      <c r="B453" s="70"/>
      <c r="C453" s="70"/>
      <c r="D453" s="70"/>
      <c r="E453" s="70"/>
      <c r="F453" s="70"/>
      <c r="G453" s="70"/>
      <c r="H453" s="70"/>
      <c r="I453" s="70"/>
      <c r="J453" s="70"/>
    </row>
    <row r="454" spans="1:10" ht="16" x14ac:dyDescent="0.2">
      <c r="A454" s="70"/>
      <c r="B454" s="70"/>
      <c r="C454" s="70"/>
      <c r="D454" s="70"/>
      <c r="E454" s="70"/>
      <c r="F454" s="70"/>
      <c r="G454" s="70"/>
      <c r="H454" s="70"/>
      <c r="I454" s="70"/>
      <c r="J454" s="70"/>
    </row>
    <row r="455" spans="1:10" ht="16" x14ac:dyDescent="0.2">
      <c r="A455" s="70"/>
      <c r="B455" s="70"/>
      <c r="C455" s="70"/>
      <c r="D455" s="70"/>
      <c r="E455" s="70"/>
      <c r="F455" s="70"/>
      <c r="G455" s="70"/>
      <c r="H455" s="70"/>
      <c r="I455" s="70"/>
      <c r="J455" s="70"/>
    </row>
    <row r="456" spans="1:10" ht="16" x14ac:dyDescent="0.2">
      <c r="A456" s="70"/>
      <c r="B456" s="70"/>
      <c r="C456" s="70"/>
      <c r="D456" s="70"/>
      <c r="E456" s="70"/>
      <c r="F456" s="70"/>
      <c r="G456" s="70"/>
      <c r="H456" s="70"/>
      <c r="I456" s="70"/>
      <c r="J456" s="70"/>
    </row>
    <row r="457" spans="1:10" ht="16" x14ac:dyDescent="0.2">
      <c r="A457" s="70"/>
      <c r="B457" s="70"/>
      <c r="C457" s="70"/>
      <c r="D457" s="70"/>
      <c r="E457" s="70"/>
      <c r="F457" s="70"/>
      <c r="G457" s="70"/>
      <c r="H457" s="70"/>
      <c r="I457" s="70"/>
      <c r="J457" s="70"/>
    </row>
    <row r="458" spans="1:10" ht="16" x14ac:dyDescent="0.2">
      <c r="A458" s="70"/>
      <c r="B458" s="70"/>
      <c r="C458" s="70"/>
      <c r="D458" s="70"/>
      <c r="E458" s="70"/>
      <c r="F458" s="70"/>
      <c r="G458" s="70"/>
      <c r="H458" s="70"/>
      <c r="I458" s="70"/>
      <c r="J458" s="70"/>
    </row>
    <row r="459" spans="1:10" ht="16" x14ac:dyDescent="0.2">
      <c r="A459" s="70"/>
      <c r="B459" s="70"/>
      <c r="C459" s="70"/>
      <c r="D459" s="70"/>
      <c r="E459" s="70"/>
      <c r="F459" s="70"/>
      <c r="G459" s="70"/>
      <c r="H459" s="70"/>
      <c r="I459" s="70"/>
      <c r="J459" s="70"/>
    </row>
    <row r="460" spans="1:10" ht="16" x14ac:dyDescent="0.2">
      <c r="A460" s="70"/>
      <c r="B460" s="70"/>
      <c r="C460" s="70"/>
      <c r="D460" s="70"/>
      <c r="E460" s="70"/>
      <c r="F460" s="70"/>
      <c r="G460" s="70"/>
      <c r="H460" s="70"/>
      <c r="I460" s="70"/>
      <c r="J460" s="70"/>
    </row>
    <row r="461" spans="1:10" ht="16" x14ac:dyDescent="0.2">
      <c r="A461" s="70"/>
      <c r="B461" s="70"/>
      <c r="C461" s="70"/>
      <c r="D461" s="70"/>
      <c r="E461" s="70"/>
      <c r="F461" s="70"/>
      <c r="G461" s="70"/>
      <c r="H461" s="70"/>
      <c r="I461" s="70"/>
      <c r="J461" s="70"/>
    </row>
    <row r="462" spans="1:10" ht="16" x14ac:dyDescent="0.2">
      <c r="A462" s="70"/>
      <c r="B462" s="70"/>
      <c r="C462" s="70"/>
      <c r="D462" s="70"/>
      <c r="E462" s="70"/>
      <c r="F462" s="70"/>
      <c r="G462" s="70"/>
      <c r="H462" s="70"/>
      <c r="I462" s="70"/>
      <c r="J462" s="70"/>
    </row>
    <row r="463" spans="1:10" ht="16" x14ac:dyDescent="0.2">
      <c r="A463" s="70"/>
      <c r="B463" s="70"/>
      <c r="C463" s="70"/>
      <c r="D463" s="70"/>
      <c r="E463" s="70"/>
      <c r="F463" s="70"/>
      <c r="G463" s="70"/>
      <c r="H463" s="70"/>
      <c r="I463" s="70"/>
      <c r="J463" s="70"/>
    </row>
    <row r="464" spans="1:10" ht="16" x14ac:dyDescent="0.2">
      <c r="A464" s="70"/>
      <c r="B464" s="70"/>
      <c r="C464" s="70"/>
      <c r="D464" s="70"/>
      <c r="E464" s="70"/>
      <c r="F464" s="70"/>
      <c r="G464" s="70"/>
      <c r="H464" s="70"/>
      <c r="I464" s="70"/>
      <c r="J464" s="70"/>
    </row>
    <row r="465" spans="1:10" ht="16" x14ac:dyDescent="0.2">
      <c r="A465" s="70"/>
      <c r="B465" s="70"/>
      <c r="C465" s="70"/>
      <c r="D465" s="70"/>
      <c r="E465" s="70"/>
      <c r="F465" s="70"/>
      <c r="G465" s="70"/>
      <c r="H465" s="70"/>
      <c r="I465" s="70"/>
      <c r="J465" s="70"/>
    </row>
    <row r="466" spans="1:10" ht="16" x14ac:dyDescent="0.2">
      <c r="A466" s="70"/>
      <c r="B466" s="70"/>
      <c r="C466" s="70"/>
      <c r="D466" s="70"/>
      <c r="E466" s="70"/>
      <c r="F466" s="70"/>
      <c r="G466" s="70"/>
      <c r="H466" s="70"/>
      <c r="I466" s="70"/>
      <c r="J466" s="70"/>
    </row>
    <row r="467" spans="1:10" ht="16" x14ac:dyDescent="0.2">
      <c r="A467" s="70"/>
      <c r="B467" s="70"/>
      <c r="C467" s="70"/>
      <c r="D467" s="70"/>
      <c r="E467" s="70"/>
      <c r="F467" s="70"/>
      <c r="G467" s="70"/>
      <c r="H467" s="70"/>
      <c r="I467" s="70"/>
      <c r="J467" s="70"/>
    </row>
    <row r="468" spans="1:10" ht="16" x14ac:dyDescent="0.2">
      <c r="A468" s="70"/>
      <c r="B468" s="70"/>
      <c r="C468" s="70"/>
      <c r="D468" s="70"/>
      <c r="E468" s="70"/>
      <c r="F468" s="70"/>
      <c r="G468" s="70"/>
      <c r="H468" s="70"/>
      <c r="I468" s="70"/>
      <c r="J468" s="70"/>
    </row>
    <row r="469" spans="1:10" ht="16" x14ac:dyDescent="0.2">
      <c r="A469" s="70"/>
      <c r="B469" s="70"/>
      <c r="C469" s="70"/>
      <c r="D469" s="70"/>
      <c r="E469" s="70"/>
      <c r="F469" s="70"/>
      <c r="G469" s="70"/>
      <c r="H469" s="70"/>
      <c r="I469" s="70"/>
      <c r="J469" s="70"/>
    </row>
    <row r="470" spans="1:10" ht="16" x14ac:dyDescent="0.2">
      <c r="A470" s="70"/>
      <c r="B470" s="70"/>
      <c r="C470" s="70"/>
      <c r="D470" s="70"/>
      <c r="E470" s="70"/>
      <c r="F470" s="70"/>
      <c r="G470" s="70"/>
      <c r="H470" s="70"/>
      <c r="I470" s="70"/>
      <c r="J470" s="70"/>
    </row>
    <row r="471" spans="1:10" ht="16" x14ac:dyDescent="0.2">
      <c r="A471" s="70"/>
      <c r="B471" s="70"/>
      <c r="C471" s="70"/>
      <c r="D471" s="70"/>
      <c r="E471" s="70"/>
      <c r="F471" s="70"/>
      <c r="G471" s="70"/>
      <c r="H471" s="70"/>
      <c r="I471" s="70"/>
      <c r="J471" s="70"/>
    </row>
    <row r="472" spans="1:10" ht="16" x14ac:dyDescent="0.2">
      <c r="A472" s="70"/>
      <c r="B472" s="70"/>
      <c r="C472" s="70"/>
      <c r="D472" s="70"/>
      <c r="E472" s="70"/>
      <c r="F472" s="70"/>
      <c r="G472" s="70"/>
      <c r="H472" s="70"/>
      <c r="I472" s="70"/>
      <c r="J472" s="70"/>
    </row>
    <row r="473" spans="1:10" ht="16" x14ac:dyDescent="0.2">
      <c r="A473" s="70"/>
      <c r="B473" s="70"/>
      <c r="C473" s="70"/>
      <c r="D473" s="70"/>
      <c r="E473" s="70"/>
      <c r="F473" s="70"/>
      <c r="G473" s="70"/>
      <c r="H473" s="70"/>
      <c r="I473" s="70"/>
      <c r="J473" s="70"/>
    </row>
    <row r="474" spans="1:10" ht="16" x14ac:dyDescent="0.2">
      <c r="A474" s="70"/>
      <c r="B474" s="70"/>
      <c r="C474" s="70"/>
      <c r="D474" s="70"/>
      <c r="E474" s="70"/>
      <c r="F474" s="70"/>
      <c r="G474" s="70"/>
      <c r="H474" s="70"/>
      <c r="I474" s="70"/>
      <c r="J474" s="70"/>
    </row>
    <row r="475" spans="1:10" ht="16" x14ac:dyDescent="0.2">
      <c r="A475" s="70"/>
      <c r="B475" s="70"/>
      <c r="C475" s="70"/>
      <c r="D475" s="70"/>
      <c r="E475" s="70"/>
      <c r="F475" s="70"/>
      <c r="G475" s="70"/>
      <c r="H475" s="70"/>
      <c r="I475" s="70"/>
      <c r="J475" s="70"/>
    </row>
    <row r="476" spans="1:10" ht="16" x14ac:dyDescent="0.2">
      <c r="A476" s="70"/>
      <c r="B476" s="70"/>
      <c r="C476" s="70"/>
      <c r="D476" s="70"/>
      <c r="E476" s="70"/>
      <c r="F476" s="70"/>
      <c r="G476" s="70"/>
      <c r="H476" s="70"/>
      <c r="I476" s="70"/>
      <c r="J476" s="70"/>
    </row>
    <row r="477" spans="1:10" ht="16" x14ac:dyDescent="0.2">
      <c r="A477" s="70"/>
      <c r="B477" s="70"/>
      <c r="C477" s="70"/>
      <c r="D477" s="70"/>
      <c r="E477" s="70"/>
      <c r="F477" s="70"/>
      <c r="G477" s="70"/>
      <c r="H477" s="70"/>
      <c r="I477" s="70"/>
      <c r="J477" s="70"/>
    </row>
    <row r="478" spans="1:10" ht="16" x14ac:dyDescent="0.2">
      <c r="A478" s="70"/>
      <c r="B478" s="70"/>
      <c r="C478" s="70"/>
      <c r="D478" s="70"/>
      <c r="E478" s="70"/>
      <c r="F478" s="70"/>
      <c r="G478" s="70"/>
      <c r="H478" s="70"/>
      <c r="I478" s="70"/>
      <c r="J478" s="70"/>
    </row>
    <row r="479" spans="1:10" ht="16" x14ac:dyDescent="0.2">
      <c r="A479" s="70"/>
      <c r="B479" s="70"/>
      <c r="C479" s="70"/>
      <c r="D479" s="70"/>
      <c r="E479" s="70"/>
      <c r="F479" s="70"/>
      <c r="G479" s="70"/>
      <c r="H479" s="70"/>
      <c r="I479" s="70"/>
      <c r="J479" s="70"/>
    </row>
    <row r="480" spans="1:10" ht="16" x14ac:dyDescent="0.2">
      <c r="A480" s="70"/>
      <c r="B480" s="70"/>
      <c r="C480" s="70"/>
      <c r="D480" s="70"/>
      <c r="E480" s="70"/>
      <c r="F480" s="70"/>
      <c r="G480" s="70"/>
      <c r="H480" s="70"/>
      <c r="I480" s="70"/>
      <c r="J480" s="70"/>
    </row>
    <row r="481" spans="1:10" ht="16" x14ac:dyDescent="0.2">
      <c r="A481" s="70"/>
      <c r="B481" s="70"/>
      <c r="C481" s="70"/>
      <c r="D481" s="70"/>
      <c r="E481" s="70"/>
      <c r="F481" s="70"/>
      <c r="G481" s="70"/>
      <c r="H481" s="70"/>
      <c r="I481" s="70"/>
      <c r="J481" s="70"/>
    </row>
    <row r="482" spans="1:10" ht="16" x14ac:dyDescent="0.2">
      <c r="A482" s="70"/>
      <c r="B482" s="70"/>
      <c r="C482" s="70"/>
      <c r="D482" s="70"/>
      <c r="E482" s="70"/>
      <c r="F482" s="70"/>
      <c r="G482" s="70"/>
      <c r="H482" s="70"/>
      <c r="I482" s="70"/>
      <c r="J482" s="70"/>
    </row>
    <row r="483" spans="1:10" ht="16" x14ac:dyDescent="0.2">
      <c r="A483" s="70"/>
      <c r="B483" s="70"/>
      <c r="C483" s="70"/>
      <c r="D483" s="70"/>
      <c r="E483" s="70"/>
      <c r="F483" s="70"/>
      <c r="G483" s="70"/>
      <c r="H483" s="70"/>
      <c r="I483" s="70"/>
      <c r="J483" s="70"/>
    </row>
    <row r="484" spans="1:10" ht="16" x14ac:dyDescent="0.2">
      <c r="A484" s="70"/>
      <c r="B484" s="70"/>
      <c r="C484" s="70"/>
      <c r="D484" s="70"/>
      <c r="E484" s="70"/>
      <c r="F484" s="70"/>
      <c r="G484" s="70"/>
      <c r="H484" s="70"/>
      <c r="I484" s="70"/>
      <c r="J484" s="70"/>
    </row>
    <row r="485" spans="1:10" ht="16" x14ac:dyDescent="0.2">
      <c r="A485" s="70"/>
      <c r="B485" s="70"/>
      <c r="C485" s="70"/>
      <c r="D485" s="70"/>
      <c r="E485" s="70"/>
      <c r="F485" s="70"/>
      <c r="G485" s="70"/>
      <c r="H485" s="70"/>
      <c r="I485" s="70"/>
      <c r="J485" s="70"/>
    </row>
    <row r="486" spans="1:10" ht="16" x14ac:dyDescent="0.2">
      <c r="A486" s="70"/>
      <c r="B486" s="70"/>
      <c r="C486" s="70"/>
      <c r="D486" s="70"/>
      <c r="E486" s="70"/>
      <c r="F486" s="70"/>
      <c r="G486" s="70"/>
      <c r="H486" s="70"/>
      <c r="I486" s="70"/>
      <c r="J486" s="70"/>
    </row>
    <row r="487" spans="1:10" ht="16" x14ac:dyDescent="0.2">
      <c r="A487" s="70"/>
      <c r="B487" s="70"/>
      <c r="C487" s="70"/>
      <c r="D487" s="70"/>
      <c r="E487" s="70"/>
      <c r="F487" s="70"/>
      <c r="G487" s="70"/>
      <c r="H487" s="70"/>
      <c r="I487" s="70"/>
      <c r="J487" s="70"/>
    </row>
    <row r="488" spans="1:10" ht="16" x14ac:dyDescent="0.2">
      <c r="A488" s="70"/>
      <c r="B488" s="70"/>
      <c r="C488" s="70"/>
      <c r="D488" s="70"/>
      <c r="E488" s="70"/>
      <c r="F488" s="70"/>
      <c r="G488" s="70"/>
      <c r="H488" s="70"/>
      <c r="I488" s="70"/>
      <c r="J488" s="70"/>
    </row>
    <row r="489" spans="1:10" ht="16" x14ac:dyDescent="0.2">
      <c r="A489" s="70"/>
      <c r="B489" s="70"/>
      <c r="C489" s="70"/>
      <c r="D489" s="70"/>
      <c r="E489" s="70"/>
      <c r="F489" s="70"/>
      <c r="G489" s="70"/>
      <c r="H489" s="70"/>
      <c r="I489" s="70"/>
      <c r="J489" s="70"/>
    </row>
    <row r="490" spans="1:10" ht="16" x14ac:dyDescent="0.2">
      <c r="A490" s="70"/>
      <c r="B490" s="70"/>
      <c r="C490" s="70"/>
      <c r="D490" s="70"/>
      <c r="E490" s="70"/>
      <c r="F490" s="70"/>
      <c r="G490" s="70"/>
      <c r="H490" s="70"/>
      <c r="I490" s="70"/>
      <c r="J490" s="70"/>
    </row>
    <row r="491" spans="1:10" ht="16" x14ac:dyDescent="0.2">
      <c r="A491" s="70"/>
      <c r="B491" s="70"/>
      <c r="C491" s="70"/>
      <c r="D491" s="70"/>
      <c r="E491" s="70"/>
      <c r="F491" s="70"/>
      <c r="G491" s="70"/>
      <c r="H491" s="70"/>
      <c r="I491" s="70"/>
      <c r="J491" s="70"/>
    </row>
    <row r="492" spans="1:10" ht="16" x14ac:dyDescent="0.2">
      <c r="A492" s="70"/>
      <c r="B492" s="70"/>
      <c r="C492" s="70"/>
      <c r="D492" s="70"/>
      <c r="E492" s="70"/>
      <c r="F492" s="70"/>
      <c r="G492" s="70"/>
      <c r="H492" s="70"/>
      <c r="I492" s="70"/>
      <c r="J492" s="70"/>
    </row>
    <row r="493" spans="1:10" ht="16" x14ac:dyDescent="0.2">
      <c r="A493" s="70"/>
      <c r="B493" s="70"/>
      <c r="C493" s="70"/>
      <c r="D493" s="70"/>
      <c r="E493" s="70"/>
      <c r="F493" s="70"/>
      <c r="G493" s="70"/>
      <c r="H493" s="70"/>
      <c r="I493" s="70"/>
      <c r="J493" s="70"/>
    </row>
    <row r="494" spans="1:10" ht="16" x14ac:dyDescent="0.2">
      <c r="A494" s="70"/>
      <c r="B494" s="70"/>
      <c r="C494" s="70"/>
      <c r="D494" s="70"/>
      <c r="E494" s="70"/>
      <c r="F494" s="70"/>
      <c r="G494" s="70"/>
      <c r="H494" s="70"/>
      <c r="I494" s="70"/>
      <c r="J494" s="70"/>
    </row>
    <row r="495" spans="1:10" ht="16" x14ac:dyDescent="0.2">
      <c r="A495" s="70"/>
      <c r="B495" s="70"/>
      <c r="C495" s="70"/>
      <c r="D495" s="70"/>
      <c r="E495" s="70"/>
      <c r="F495" s="70"/>
      <c r="G495" s="70"/>
      <c r="H495" s="70"/>
      <c r="I495" s="70"/>
      <c r="J495" s="70"/>
    </row>
    <row r="496" spans="1:10" ht="16" x14ac:dyDescent="0.2">
      <c r="A496" s="70"/>
      <c r="B496" s="70"/>
      <c r="C496" s="70"/>
      <c r="D496" s="70"/>
      <c r="E496" s="70"/>
      <c r="F496" s="70"/>
      <c r="G496" s="70"/>
      <c r="H496" s="70"/>
      <c r="I496" s="70"/>
      <c r="J496" s="70"/>
    </row>
    <row r="497" spans="1:10" ht="16" x14ac:dyDescent="0.2">
      <c r="A497" s="70"/>
      <c r="B497" s="70"/>
      <c r="C497" s="70"/>
      <c r="D497" s="70"/>
      <c r="E497" s="70"/>
      <c r="F497" s="70"/>
      <c r="G497" s="70"/>
      <c r="H497" s="70"/>
      <c r="I497" s="70"/>
      <c r="J497" s="70"/>
    </row>
    <row r="498" spans="1:10" ht="16" x14ac:dyDescent="0.2">
      <c r="A498" s="70"/>
      <c r="B498" s="70"/>
      <c r="C498" s="70"/>
      <c r="D498" s="70"/>
      <c r="E498" s="70"/>
      <c r="F498" s="70"/>
      <c r="G498" s="70"/>
      <c r="H498" s="70"/>
      <c r="I498" s="70"/>
      <c r="J498" s="70"/>
    </row>
    <row r="499" spans="1:10" ht="16" x14ac:dyDescent="0.2">
      <c r="A499" s="70"/>
      <c r="B499" s="70"/>
      <c r="C499" s="70"/>
      <c r="D499" s="70"/>
      <c r="E499" s="70"/>
      <c r="F499" s="70"/>
      <c r="G499" s="70"/>
      <c r="H499" s="70"/>
      <c r="I499" s="70"/>
      <c r="J499" s="70"/>
    </row>
    <row r="500" spans="1:10" ht="16" x14ac:dyDescent="0.2">
      <c r="A500" s="70"/>
      <c r="B500" s="70"/>
      <c r="C500" s="70"/>
      <c r="D500" s="70"/>
      <c r="E500" s="70"/>
      <c r="F500" s="70"/>
      <c r="G500" s="70"/>
      <c r="H500" s="70"/>
      <c r="I500" s="70"/>
      <c r="J500" s="70"/>
    </row>
    <row r="501" spans="1:10" ht="16" x14ac:dyDescent="0.2">
      <c r="A501" s="70"/>
      <c r="B501" s="70"/>
      <c r="C501" s="70"/>
      <c r="D501" s="70"/>
      <c r="E501" s="70"/>
      <c r="F501" s="70"/>
      <c r="G501" s="70"/>
      <c r="H501" s="70"/>
      <c r="I501" s="70"/>
      <c r="J501" s="70"/>
    </row>
    <row r="502" spans="1:10" ht="16" x14ac:dyDescent="0.2">
      <c r="A502" s="70"/>
      <c r="B502" s="70"/>
      <c r="C502" s="70"/>
      <c r="D502" s="70"/>
      <c r="E502" s="70"/>
      <c r="F502" s="70"/>
      <c r="G502" s="70"/>
      <c r="H502" s="70"/>
      <c r="I502" s="70"/>
      <c r="J502" s="70"/>
    </row>
    <row r="503" spans="1:10" ht="16" x14ac:dyDescent="0.2">
      <c r="A503" s="70"/>
      <c r="B503" s="70"/>
      <c r="C503" s="70"/>
      <c r="D503" s="70"/>
      <c r="E503" s="70"/>
      <c r="F503" s="70"/>
      <c r="G503" s="70"/>
      <c r="H503" s="70"/>
      <c r="I503" s="70"/>
      <c r="J503" s="70"/>
    </row>
    <row r="504" spans="1:10" ht="16" x14ac:dyDescent="0.2">
      <c r="A504" s="70"/>
      <c r="B504" s="70"/>
      <c r="C504" s="70"/>
      <c r="D504" s="70"/>
      <c r="E504" s="70"/>
      <c r="F504" s="70"/>
      <c r="G504" s="70"/>
      <c r="H504" s="70"/>
      <c r="I504" s="70"/>
      <c r="J504" s="70"/>
    </row>
    <row r="505" spans="1:10" ht="16" x14ac:dyDescent="0.2">
      <c r="A505" s="70"/>
      <c r="B505" s="70"/>
      <c r="C505" s="70"/>
      <c r="D505" s="70"/>
      <c r="E505" s="70"/>
      <c r="F505" s="70"/>
      <c r="G505" s="70"/>
      <c r="H505" s="70"/>
      <c r="I505" s="70"/>
      <c r="J505" s="70"/>
    </row>
    <row r="506" spans="1:10" ht="16" x14ac:dyDescent="0.2">
      <c r="A506" s="70"/>
      <c r="B506" s="70"/>
      <c r="C506" s="70"/>
      <c r="D506" s="70"/>
      <c r="E506" s="70"/>
      <c r="F506" s="70"/>
      <c r="G506" s="70"/>
      <c r="H506" s="70"/>
      <c r="I506" s="70"/>
      <c r="J506" s="70"/>
    </row>
    <row r="507" spans="1:10" ht="16" x14ac:dyDescent="0.2">
      <c r="A507" s="70"/>
      <c r="B507" s="70"/>
      <c r="C507" s="70"/>
      <c r="D507" s="70"/>
      <c r="E507" s="70"/>
      <c r="F507" s="70"/>
      <c r="G507" s="70"/>
      <c r="H507" s="70"/>
      <c r="I507" s="70"/>
      <c r="J507" s="70"/>
    </row>
    <row r="508" spans="1:10" ht="16" x14ac:dyDescent="0.2">
      <c r="A508" s="70"/>
      <c r="B508" s="70"/>
      <c r="C508" s="70"/>
      <c r="D508" s="70"/>
      <c r="E508" s="70"/>
      <c r="F508" s="70"/>
      <c r="G508" s="70"/>
      <c r="H508" s="70"/>
      <c r="I508" s="70"/>
      <c r="J508" s="70"/>
    </row>
    <row r="509" spans="1:10" ht="16" x14ac:dyDescent="0.2">
      <c r="A509" s="70"/>
      <c r="B509" s="70"/>
      <c r="C509" s="70"/>
      <c r="D509" s="70"/>
      <c r="E509" s="70"/>
      <c r="F509" s="70"/>
      <c r="G509" s="70"/>
      <c r="H509" s="70"/>
      <c r="I509" s="70"/>
      <c r="J509" s="70"/>
    </row>
    <row r="510" spans="1:10" ht="16" x14ac:dyDescent="0.2">
      <c r="A510" s="70"/>
      <c r="B510" s="70"/>
      <c r="C510" s="70"/>
      <c r="D510" s="70"/>
      <c r="E510" s="70"/>
      <c r="F510" s="70"/>
      <c r="G510" s="70"/>
      <c r="H510" s="70"/>
      <c r="I510" s="70"/>
      <c r="J510" s="70"/>
    </row>
    <row r="511" spans="1:10" ht="16" x14ac:dyDescent="0.2">
      <c r="A511" s="70"/>
      <c r="B511" s="70"/>
      <c r="C511" s="70"/>
      <c r="D511" s="70"/>
      <c r="E511" s="70"/>
      <c r="F511" s="70"/>
      <c r="G511" s="70"/>
      <c r="H511" s="70"/>
      <c r="I511" s="70"/>
      <c r="J511" s="70"/>
    </row>
    <row r="512" spans="1:10" ht="16" x14ac:dyDescent="0.2">
      <c r="A512" s="70"/>
      <c r="B512" s="70"/>
      <c r="C512" s="70"/>
      <c r="D512" s="70"/>
      <c r="E512" s="70"/>
      <c r="F512" s="70"/>
      <c r="G512" s="70"/>
      <c r="H512" s="70"/>
      <c r="I512" s="70"/>
      <c r="J512" s="70"/>
    </row>
    <row r="513" spans="1:10" ht="16" x14ac:dyDescent="0.2">
      <c r="A513" s="70"/>
      <c r="B513" s="70"/>
      <c r="C513" s="70"/>
      <c r="D513" s="70"/>
      <c r="E513" s="70"/>
      <c r="F513" s="70"/>
      <c r="G513" s="70"/>
      <c r="H513" s="70"/>
      <c r="I513" s="70"/>
      <c r="J513" s="70"/>
    </row>
    <row r="514" spans="1:10" ht="16" x14ac:dyDescent="0.2">
      <c r="A514" s="70"/>
      <c r="B514" s="70"/>
      <c r="C514" s="70"/>
      <c r="D514" s="70"/>
      <c r="E514" s="70"/>
      <c r="F514" s="70"/>
      <c r="G514" s="70"/>
      <c r="H514" s="70"/>
      <c r="I514" s="70"/>
      <c r="J514" s="70"/>
    </row>
    <row r="515" spans="1:10" ht="16" x14ac:dyDescent="0.2">
      <c r="A515" s="70"/>
      <c r="B515" s="70"/>
      <c r="C515" s="70"/>
      <c r="D515" s="70"/>
      <c r="E515" s="70"/>
      <c r="F515" s="70"/>
      <c r="G515" s="70"/>
      <c r="H515" s="70"/>
      <c r="I515" s="70"/>
      <c r="J515" s="70"/>
    </row>
    <row r="516" spans="1:10" ht="16" x14ac:dyDescent="0.2">
      <c r="A516" s="70"/>
      <c r="B516" s="70"/>
      <c r="C516" s="70"/>
      <c r="D516" s="70"/>
      <c r="E516" s="70"/>
      <c r="F516" s="70"/>
      <c r="G516" s="70"/>
      <c r="H516" s="70"/>
      <c r="I516" s="70"/>
      <c r="J516" s="70"/>
    </row>
    <row r="517" spans="1:10" ht="16" x14ac:dyDescent="0.2">
      <c r="A517" s="70"/>
      <c r="B517" s="70"/>
      <c r="C517" s="70"/>
      <c r="D517" s="70"/>
      <c r="E517" s="70"/>
      <c r="F517" s="70"/>
      <c r="G517" s="70"/>
      <c r="H517" s="70"/>
      <c r="I517" s="70"/>
      <c r="J517" s="70"/>
    </row>
    <row r="518" spans="1:10" ht="16" x14ac:dyDescent="0.2">
      <c r="A518" s="70"/>
      <c r="B518" s="70"/>
      <c r="C518" s="70"/>
      <c r="D518" s="70"/>
      <c r="E518" s="70"/>
      <c r="F518" s="70"/>
      <c r="G518" s="70"/>
      <c r="H518" s="70"/>
      <c r="I518" s="70"/>
      <c r="J518" s="70"/>
    </row>
    <row r="519" spans="1:10" ht="16" x14ac:dyDescent="0.2">
      <c r="A519" s="70"/>
      <c r="B519" s="70"/>
      <c r="C519" s="70"/>
      <c r="D519" s="70"/>
      <c r="E519" s="70"/>
      <c r="F519" s="70"/>
      <c r="G519" s="70"/>
      <c r="H519" s="70"/>
      <c r="I519" s="70"/>
      <c r="J519" s="70"/>
    </row>
    <row r="520" spans="1:10" ht="16" x14ac:dyDescent="0.2">
      <c r="A520" s="70"/>
      <c r="B520" s="70"/>
      <c r="C520" s="70"/>
      <c r="D520" s="70"/>
      <c r="E520" s="70"/>
      <c r="F520" s="70"/>
      <c r="G520" s="70"/>
      <c r="H520" s="70"/>
      <c r="I520" s="70"/>
      <c r="J520" s="70"/>
    </row>
    <row r="521" spans="1:10" ht="16" x14ac:dyDescent="0.2">
      <c r="A521" s="70"/>
      <c r="B521" s="70"/>
      <c r="C521" s="70"/>
      <c r="D521" s="70"/>
      <c r="E521" s="70"/>
      <c r="F521" s="70"/>
      <c r="G521" s="70"/>
      <c r="H521" s="70"/>
      <c r="I521" s="70"/>
      <c r="J521" s="70"/>
    </row>
    <row r="522" spans="1:10" ht="16" x14ac:dyDescent="0.2">
      <c r="A522" s="70"/>
      <c r="B522" s="70"/>
      <c r="C522" s="70"/>
      <c r="D522" s="70"/>
      <c r="E522" s="70"/>
      <c r="F522" s="70"/>
      <c r="G522" s="70"/>
      <c r="H522" s="70"/>
      <c r="I522" s="70"/>
      <c r="J522" s="70"/>
    </row>
    <row r="523" spans="1:10" ht="16" x14ac:dyDescent="0.2">
      <c r="A523" s="70"/>
      <c r="B523" s="70"/>
      <c r="C523" s="70"/>
      <c r="D523" s="70"/>
      <c r="E523" s="70"/>
      <c r="F523" s="70"/>
      <c r="G523" s="70"/>
      <c r="H523" s="70"/>
      <c r="I523" s="70"/>
      <c r="J523" s="70"/>
    </row>
    <row r="524" spans="1:10" ht="16" x14ac:dyDescent="0.2">
      <c r="A524" s="70"/>
      <c r="B524" s="70"/>
      <c r="C524" s="70"/>
      <c r="D524" s="70"/>
      <c r="E524" s="70"/>
      <c r="F524" s="70"/>
      <c r="G524" s="70"/>
      <c r="H524" s="70"/>
      <c r="I524" s="70"/>
      <c r="J524" s="70"/>
    </row>
    <row r="525" spans="1:10" ht="16" x14ac:dyDescent="0.2">
      <c r="A525" s="70"/>
      <c r="B525" s="70"/>
      <c r="C525" s="70"/>
      <c r="D525" s="70"/>
      <c r="E525" s="70"/>
      <c r="F525" s="70"/>
      <c r="G525" s="70"/>
      <c r="H525" s="70"/>
      <c r="I525" s="70"/>
      <c r="J525" s="70"/>
    </row>
    <row r="526" spans="1:10" ht="16" x14ac:dyDescent="0.2">
      <c r="A526" s="70"/>
      <c r="B526" s="70"/>
      <c r="C526" s="70"/>
      <c r="D526" s="70"/>
      <c r="E526" s="70"/>
      <c r="F526" s="70"/>
      <c r="G526" s="70"/>
      <c r="H526" s="70"/>
      <c r="I526" s="70"/>
      <c r="J526" s="70"/>
    </row>
    <row r="527" spans="1:10" ht="16" x14ac:dyDescent="0.2">
      <c r="A527" s="70"/>
      <c r="B527" s="70"/>
      <c r="C527" s="70"/>
      <c r="D527" s="70"/>
      <c r="E527" s="70"/>
      <c r="F527" s="70"/>
      <c r="G527" s="70"/>
      <c r="H527" s="70"/>
      <c r="I527" s="70"/>
      <c r="J527" s="70"/>
    </row>
    <row r="528" spans="1:10" ht="16" x14ac:dyDescent="0.2">
      <c r="A528" s="70"/>
      <c r="B528" s="70"/>
      <c r="C528" s="70"/>
      <c r="D528" s="70"/>
      <c r="E528" s="70"/>
      <c r="F528" s="70"/>
      <c r="G528" s="70"/>
      <c r="H528" s="70"/>
      <c r="I528" s="70"/>
      <c r="J528" s="70"/>
    </row>
    <row r="529" spans="1:10" ht="16" x14ac:dyDescent="0.2">
      <c r="A529" s="70"/>
      <c r="B529" s="70"/>
      <c r="C529" s="70"/>
      <c r="D529" s="70"/>
      <c r="E529" s="70"/>
      <c r="F529" s="70"/>
      <c r="G529" s="70"/>
      <c r="H529" s="70"/>
      <c r="I529" s="70"/>
      <c r="J529" s="70"/>
    </row>
    <row r="530" spans="1:10" ht="16" x14ac:dyDescent="0.2">
      <c r="A530" s="70"/>
      <c r="B530" s="70"/>
      <c r="C530" s="70"/>
      <c r="D530" s="70"/>
      <c r="E530" s="70"/>
      <c r="F530" s="70"/>
      <c r="G530" s="70"/>
      <c r="H530" s="70"/>
      <c r="I530" s="70"/>
      <c r="J530" s="70"/>
    </row>
    <row r="531" spans="1:10" ht="16" x14ac:dyDescent="0.2">
      <c r="A531" s="70"/>
      <c r="B531" s="70"/>
      <c r="C531" s="70"/>
      <c r="D531" s="70"/>
      <c r="E531" s="70"/>
      <c r="F531" s="70"/>
      <c r="G531" s="70"/>
      <c r="H531" s="70"/>
      <c r="I531" s="70"/>
      <c r="J531" s="70"/>
    </row>
    <row r="532" spans="1:10" ht="16" x14ac:dyDescent="0.2">
      <c r="A532" s="70"/>
      <c r="B532" s="70"/>
      <c r="C532" s="70"/>
      <c r="D532" s="70"/>
      <c r="E532" s="70"/>
      <c r="F532" s="70"/>
      <c r="G532" s="70"/>
      <c r="H532" s="70"/>
      <c r="I532" s="70"/>
      <c r="J532" s="70"/>
    </row>
    <row r="533" spans="1:10" ht="16" x14ac:dyDescent="0.2">
      <c r="A533" s="70"/>
      <c r="B533" s="70"/>
      <c r="C533" s="70"/>
      <c r="D533" s="70"/>
      <c r="E533" s="70"/>
      <c r="F533" s="70"/>
      <c r="G533" s="70"/>
      <c r="H533" s="70"/>
      <c r="I533" s="70"/>
      <c r="J533" s="70"/>
    </row>
    <row r="534" spans="1:10" ht="16" x14ac:dyDescent="0.2">
      <c r="A534" s="70"/>
      <c r="B534" s="70"/>
      <c r="C534" s="70"/>
      <c r="D534" s="70"/>
      <c r="E534" s="70"/>
      <c r="F534" s="70"/>
      <c r="G534" s="70"/>
      <c r="H534" s="70"/>
      <c r="I534" s="70"/>
      <c r="J534" s="70"/>
    </row>
    <row r="535" spans="1:10" ht="16" x14ac:dyDescent="0.2">
      <c r="A535" s="70"/>
      <c r="B535" s="70"/>
      <c r="C535" s="70"/>
      <c r="D535" s="70"/>
      <c r="E535" s="70"/>
      <c r="F535" s="70"/>
      <c r="G535" s="70"/>
      <c r="H535" s="70"/>
      <c r="I535" s="70"/>
      <c r="J535" s="70"/>
    </row>
    <row r="536" spans="1:10" ht="16" x14ac:dyDescent="0.2">
      <c r="A536" s="70"/>
      <c r="B536" s="70"/>
      <c r="C536" s="70"/>
      <c r="D536" s="70"/>
      <c r="E536" s="70"/>
      <c r="F536" s="70"/>
      <c r="G536" s="70"/>
      <c r="H536" s="70"/>
      <c r="I536" s="70"/>
      <c r="J536" s="70"/>
    </row>
    <row r="537" spans="1:10" ht="16" x14ac:dyDescent="0.2">
      <c r="A537" s="70"/>
      <c r="B537" s="70"/>
      <c r="C537" s="70"/>
      <c r="D537" s="70"/>
      <c r="E537" s="70"/>
      <c r="F537" s="70"/>
      <c r="G537" s="70"/>
      <c r="H537" s="70"/>
      <c r="I537" s="70"/>
      <c r="J537" s="70"/>
    </row>
    <row r="538" spans="1:10" ht="16" x14ac:dyDescent="0.2">
      <c r="A538" s="70"/>
      <c r="B538" s="70"/>
      <c r="C538" s="70"/>
      <c r="D538" s="70"/>
      <c r="E538" s="70"/>
      <c r="F538" s="70"/>
      <c r="G538" s="70"/>
      <c r="H538" s="70"/>
      <c r="I538" s="70"/>
      <c r="J538" s="70"/>
    </row>
    <row r="539" spans="1:10" ht="16" x14ac:dyDescent="0.2">
      <c r="A539" s="70"/>
      <c r="B539" s="70"/>
      <c r="C539" s="70"/>
      <c r="D539" s="70"/>
      <c r="E539" s="70"/>
      <c r="F539" s="70"/>
      <c r="G539" s="70"/>
      <c r="H539" s="70"/>
      <c r="I539" s="70"/>
      <c r="J539" s="70"/>
    </row>
    <row r="540" spans="1:10" ht="16" x14ac:dyDescent="0.2">
      <c r="A540" s="70"/>
      <c r="B540" s="70"/>
      <c r="C540" s="70"/>
      <c r="D540" s="70"/>
      <c r="E540" s="70"/>
      <c r="F540" s="70"/>
      <c r="G540" s="70"/>
      <c r="H540" s="70"/>
      <c r="I540" s="70"/>
      <c r="J540" s="70"/>
    </row>
    <row r="541" spans="1:10" ht="16" x14ac:dyDescent="0.2">
      <c r="A541" s="70"/>
      <c r="B541" s="70"/>
      <c r="C541" s="70"/>
      <c r="D541" s="70"/>
      <c r="E541" s="70"/>
      <c r="F541" s="70"/>
      <c r="G541" s="70"/>
      <c r="H541" s="70"/>
      <c r="I541" s="70"/>
      <c r="J541" s="70"/>
    </row>
    <row r="542" spans="1:10" ht="16" x14ac:dyDescent="0.2">
      <c r="A542" s="70"/>
      <c r="B542" s="70"/>
      <c r="C542" s="70"/>
      <c r="D542" s="70"/>
      <c r="E542" s="70"/>
      <c r="F542" s="70"/>
      <c r="G542" s="70"/>
      <c r="H542" s="70"/>
      <c r="I542" s="70"/>
      <c r="J542" s="70"/>
    </row>
    <row r="543" spans="1:10" ht="16" x14ac:dyDescent="0.2">
      <c r="A543" s="70"/>
      <c r="B543" s="70"/>
      <c r="C543" s="70"/>
      <c r="D543" s="70"/>
      <c r="E543" s="70"/>
      <c r="F543" s="70"/>
      <c r="G543" s="70"/>
      <c r="H543" s="70"/>
      <c r="I543" s="70"/>
      <c r="J543" s="70"/>
    </row>
    <row r="544" spans="1:10" ht="16" x14ac:dyDescent="0.2">
      <c r="A544" s="70"/>
      <c r="B544" s="70"/>
      <c r="C544" s="70"/>
      <c r="D544" s="70"/>
      <c r="E544" s="70"/>
      <c r="F544" s="70"/>
      <c r="G544" s="70"/>
      <c r="H544" s="70"/>
      <c r="I544" s="70"/>
      <c r="J544" s="70"/>
    </row>
    <row r="545" spans="1:10" ht="16" x14ac:dyDescent="0.2">
      <c r="A545" s="70"/>
      <c r="B545" s="70"/>
      <c r="C545" s="70"/>
      <c r="D545" s="70"/>
      <c r="E545" s="70"/>
      <c r="F545" s="70"/>
      <c r="G545" s="70"/>
      <c r="H545" s="70"/>
      <c r="I545" s="70"/>
      <c r="J545" s="70"/>
    </row>
    <row r="546" spans="1:10" ht="16" x14ac:dyDescent="0.2">
      <c r="A546" s="70"/>
      <c r="B546" s="70"/>
      <c r="C546" s="70"/>
      <c r="D546" s="70"/>
      <c r="E546" s="70"/>
      <c r="F546" s="70"/>
      <c r="G546" s="70"/>
      <c r="H546" s="70"/>
      <c r="I546" s="70"/>
      <c r="J546" s="70"/>
    </row>
    <row r="547" spans="1:10" ht="16" x14ac:dyDescent="0.2">
      <c r="A547" s="70"/>
      <c r="B547" s="70"/>
      <c r="C547" s="70"/>
      <c r="D547" s="70"/>
      <c r="E547" s="70"/>
      <c r="F547" s="70"/>
      <c r="G547" s="70"/>
      <c r="H547" s="70"/>
      <c r="I547" s="70"/>
      <c r="J547" s="70"/>
    </row>
    <row r="548" spans="1:10" ht="16" x14ac:dyDescent="0.2">
      <c r="A548" s="70"/>
      <c r="B548" s="70"/>
      <c r="C548" s="70"/>
      <c r="D548" s="70"/>
      <c r="E548" s="70"/>
      <c r="F548" s="70"/>
      <c r="G548" s="70"/>
      <c r="H548" s="70"/>
      <c r="I548" s="70"/>
      <c r="J548" s="70"/>
    </row>
    <row r="549" spans="1:10" ht="16" x14ac:dyDescent="0.2">
      <c r="A549" s="70"/>
      <c r="B549" s="70"/>
      <c r="C549" s="70"/>
      <c r="D549" s="70"/>
      <c r="E549" s="70"/>
      <c r="F549" s="70"/>
      <c r="G549" s="70"/>
      <c r="H549" s="70"/>
      <c r="I549" s="70"/>
      <c r="J549" s="70"/>
    </row>
    <row r="550" spans="1:10" ht="16" x14ac:dyDescent="0.2">
      <c r="A550" s="70"/>
      <c r="B550" s="70"/>
      <c r="C550" s="70"/>
      <c r="D550" s="70"/>
      <c r="E550" s="70"/>
      <c r="F550" s="70"/>
      <c r="G550" s="70"/>
      <c r="H550" s="70"/>
      <c r="I550" s="70"/>
      <c r="J550" s="70"/>
    </row>
    <row r="551" spans="1:10" ht="16" x14ac:dyDescent="0.2">
      <c r="A551" s="70"/>
      <c r="B551" s="70"/>
      <c r="C551" s="70"/>
      <c r="D551" s="70"/>
      <c r="E551" s="70"/>
      <c r="F551" s="70"/>
      <c r="G551" s="70"/>
      <c r="H551" s="70"/>
      <c r="I551" s="70"/>
      <c r="J551" s="70"/>
    </row>
    <row r="552" spans="1:10" ht="16" x14ac:dyDescent="0.2">
      <c r="A552" s="70"/>
      <c r="B552" s="70"/>
      <c r="C552" s="70"/>
      <c r="D552" s="70"/>
      <c r="E552" s="70"/>
      <c r="F552" s="70"/>
      <c r="G552" s="70"/>
      <c r="H552" s="70"/>
      <c r="I552" s="70"/>
      <c r="J552" s="70"/>
    </row>
    <row r="553" spans="1:10" ht="16" x14ac:dyDescent="0.2">
      <c r="A553" s="70"/>
      <c r="B553" s="70"/>
      <c r="C553" s="70"/>
      <c r="D553" s="70"/>
      <c r="E553" s="70"/>
      <c r="F553" s="70"/>
      <c r="G553" s="70"/>
      <c r="H553" s="70"/>
      <c r="I553" s="70"/>
      <c r="J553" s="70"/>
    </row>
    <row r="554" spans="1:10" ht="16" x14ac:dyDescent="0.2">
      <c r="A554" s="70"/>
      <c r="B554" s="70"/>
      <c r="C554" s="70"/>
      <c r="D554" s="70"/>
      <c r="E554" s="70"/>
      <c r="F554" s="70"/>
      <c r="G554" s="70"/>
      <c r="H554" s="70"/>
      <c r="I554" s="70"/>
      <c r="J554" s="70"/>
    </row>
    <row r="555" spans="1:10" ht="16" x14ac:dyDescent="0.2">
      <c r="A555" s="70"/>
      <c r="B555" s="70"/>
      <c r="C555" s="70"/>
      <c r="D555" s="70"/>
      <c r="E555" s="70"/>
      <c r="F555" s="70"/>
      <c r="G555" s="70"/>
      <c r="H555" s="70"/>
      <c r="I555" s="70"/>
      <c r="J555" s="70"/>
    </row>
    <row r="556" spans="1:10" ht="16" x14ac:dyDescent="0.2">
      <c r="A556" s="70"/>
      <c r="B556" s="70"/>
      <c r="C556" s="70"/>
      <c r="D556" s="70"/>
      <c r="E556" s="70"/>
      <c r="F556" s="70"/>
      <c r="G556" s="70"/>
      <c r="H556" s="70"/>
      <c r="I556" s="70"/>
      <c r="J556" s="70"/>
    </row>
    <row r="557" spans="1:10" ht="16" x14ac:dyDescent="0.2">
      <c r="A557" s="70"/>
      <c r="B557" s="70"/>
      <c r="C557" s="70"/>
      <c r="D557" s="70"/>
      <c r="E557" s="70"/>
      <c r="F557" s="70"/>
      <c r="G557" s="70"/>
      <c r="H557" s="70"/>
      <c r="I557" s="70"/>
      <c r="J557" s="70"/>
    </row>
    <row r="558" spans="1:10" ht="16" x14ac:dyDescent="0.2">
      <c r="A558" s="70"/>
      <c r="B558" s="70"/>
      <c r="C558" s="70"/>
      <c r="D558" s="70"/>
      <c r="E558" s="70"/>
      <c r="F558" s="70"/>
      <c r="G558" s="70"/>
      <c r="H558" s="70"/>
      <c r="I558" s="70"/>
      <c r="J558" s="70"/>
    </row>
    <row r="559" spans="1:10" ht="16" x14ac:dyDescent="0.2">
      <c r="A559" s="70"/>
      <c r="B559" s="70"/>
      <c r="C559" s="70"/>
      <c r="D559" s="70"/>
      <c r="E559" s="70"/>
      <c r="F559" s="70"/>
      <c r="G559" s="70"/>
      <c r="H559" s="70"/>
      <c r="I559" s="70"/>
      <c r="J559" s="70"/>
    </row>
    <row r="560" spans="1:10" ht="16" x14ac:dyDescent="0.2">
      <c r="A560" s="70"/>
      <c r="B560" s="70"/>
      <c r="C560" s="70"/>
      <c r="D560" s="70"/>
      <c r="E560" s="70"/>
      <c r="F560" s="70"/>
      <c r="G560" s="70"/>
      <c r="H560" s="70"/>
      <c r="I560" s="70"/>
      <c r="J560" s="70"/>
    </row>
    <row r="561" spans="1:10" ht="16" x14ac:dyDescent="0.2">
      <c r="A561" s="70"/>
      <c r="B561" s="70"/>
      <c r="C561" s="70"/>
      <c r="D561" s="70"/>
      <c r="E561" s="70"/>
      <c r="F561" s="70"/>
      <c r="G561" s="70"/>
      <c r="H561" s="70"/>
      <c r="I561" s="70"/>
      <c r="J561" s="70"/>
    </row>
    <row r="562" spans="1:10" ht="16" x14ac:dyDescent="0.2">
      <c r="A562" s="70"/>
      <c r="B562" s="70"/>
      <c r="C562" s="70"/>
      <c r="D562" s="70"/>
      <c r="E562" s="70"/>
      <c r="F562" s="70"/>
      <c r="G562" s="70"/>
      <c r="H562" s="70"/>
      <c r="I562" s="70"/>
      <c r="J562" s="70"/>
    </row>
    <row r="563" spans="1:10" ht="16" x14ac:dyDescent="0.2">
      <c r="A563" s="70"/>
      <c r="B563" s="70"/>
      <c r="C563" s="70"/>
      <c r="D563" s="70"/>
      <c r="E563" s="70"/>
      <c r="F563" s="70"/>
      <c r="G563" s="70"/>
      <c r="H563" s="70"/>
      <c r="I563" s="70"/>
      <c r="J563" s="70"/>
    </row>
    <row r="564" spans="1:10" ht="16" x14ac:dyDescent="0.2">
      <c r="A564" s="70"/>
      <c r="B564" s="70"/>
      <c r="C564" s="70"/>
      <c r="D564" s="70"/>
      <c r="E564" s="70"/>
      <c r="F564" s="70"/>
      <c r="G564" s="70"/>
      <c r="H564" s="70"/>
      <c r="I564" s="70"/>
      <c r="J564" s="70"/>
    </row>
    <row r="565" spans="1:10" ht="16" x14ac:dyDescent="0.2">
      <c r="A565" s="70"/>
      <c r="B565" s="70"/>
      <c r="C565" s="70"/>
      <c r="D565" s="70"/>
      <c r="E565" s="70"/>
      <c r="F565" s="70"/>
      <c r="G565" s="70"/>
      <c r="H565" s="70"/>
      <c r="I565" s="70"/>
      <c r="J565" s="70"/>
    </row>
    <row r="566" spans="1:10" ht="16" x14ac:dyDescent="0.2">
      <c r="A566" s="70"/>
      <c r="B566" s="70"/>
      <c r="C566" s="70"/>
      <c r="D566" s="70"/>
      <c r="E566" s="70"/>
      <c r="F566" s="70"/>
      <c r="G566" s="70"/>
      <c r="H566" s="70"/>
      <c r="I566" s="70"/>
      <c r="J566" s="70"/>
    </row>
    <row r="567" spans="1:10" ht="16" x14ac:dyDescent="0.2">
      <c r="A567" s="70"/>
      <c r="B567" s="70"/>
      <c r="C567" s="70"/>
      <c r="D567" s="70"/>
      <c r="E567" s="70"/>
      <c r="F567" s="70"/>
      <c r="G567" s="70"/>
      <c r="H567" s="70"/>
      <c r="I567" s="70"/>
      <c r="J567" s="70"/>
    </row>
    <row r="568" spans="1:10" ht="16" x14ac:dyDescent="0.2">
      <c r="A568" s="70"/>
      <c r="B568" s="70"/>
      <c r="C568" s="70"/>
      <c r="D568" s="70"/>
      <c r="E568" s="70"/>
      <c r="F568" s="70"/>
      <c r="G568" s="70"/>
      <c r="H568" s="70"/>
      <c r="I568" s="70"/>
      <c r="J568" s="70"/>
    </row>
    <row r="569" spans="1:10" ht="16" x14ac:dyDescent="0.2">
      <c r="A569" s="70"/>
      <c r="B569" s="70"/>
      <c r="C569" s="70"/>
      <c r="D569" s="70"/>
      <c r="E569" s="70"/>
      <c r="F569" s="70"/>
      <c r="G569" s="70"/>
      <c r="H569" s="70"/>
      <c r="I569" s="70"/>
      <c r="J569" s="70"/>
    </row>
    <row r="570" spans="1:10" ht="16" x14ac:dyDescent="0.2">
      <c r="A570" s="70"/>
      <c r="B570" s="70"/>
      <c r="C570" s="70"/>
      <c r="D570" s="70"/>
      <c r="E570" s="70"/>
      <c r="F570" s="70"/>
      <c r="G570" s="70"/>
      <c r="H570" s="70"/>
      <c r="I570" s="70"/>
      <c r="J570" s="70"/>
    </row>
    <row r="571" spans="1:10" ht="16" x14ac:dyDescent="0.2">
      <c r="A571" s="70"/>
      <c r="B571" s="70"/>
      <c r="C571" s="70"/>
      <c r="D571" s="70"/>
      <c r="E571" s="70"/>
      <c r="F571" s="70"/>
      <c r="G571" s="70"/>
      <c r="H571" s="70"/>
      <c r="I571" s="70"/>
      <c r="J571" s="70"/>
    </row>
    <row r="572" spans="1:10" ht="16" x14ac:dyDescent="0.2">
      <c r="A572" s="70"/>
      <c r="B572" s="70"/>
      <c r="C572" s="70"/>
      <c r="D572" s="70"/>
      <c r="E572" s="70"/>
      <c r="F572" s="70"/>
      <c r="G572" s="70"/>
      <c r="H572" s="70"/>
      <c r="I572" s="70"/>
      <c r="J572" s="70"/>
    </row>
    <row r="573" spans="1:10" ht="16" x14ac:dyDescent="0.2">
      <c r="A573" s="70"/>
      <c r="B573" s="70"/>
      <c r="C573" s="70"/>
      <c r="D573" s="70"/>
      <c r="E573" s="70"/>
      <c r="F573" s="70"/>
      <c r="G573" s="70"/>
      <c r="H573" s="70"/>
      <c r="I573" s="70"/>
      <c r="J573" s="70"/>
    </row>
    <row r="574" spans="1:10" ht="16" x14ac:dyDescent="0.2">
      <c r="A574" s="70"/>
      <c r="B574" s="70"/>
      <c r="C574" s="70"/>
      <c r="D574" s="70"/>
      <c r="E574" s="70"/>
      <c r="F574" s="70"/>
      <c r="G574" s="70"/>
      <c r="H574" s="70"/>
      <c r="I574" s="70"/>
      <c r="J574" s="70"/>
    </row>
    <row r="575" spans="1:10" ht="16" x14ac:dyDescent="0.2">
      <c r="A575" s="70"/>
      <c r="B575" s="70"/>
      <c r="C575" s="70"/>
      <c r="D575" s="70"/>
      <c r="E575" s="70"/>
      <c r="F575" s="70"/>
      <c r="G575" s="70"/>
      <c r="H575" s="70"/>
      <c r="I575" s="70"/>
      <c r="J575" s="70"/>
    </row>
    <row r="576" spans="1:10" ht="16" x14ac:dyDescent="0.2">
      <c r="A576" s="70"/>
      <c r="B576" s="70"/>
      <c r="C576" s="70"/>
      <c r="D576" s="70"/>
      <c r="E576" s="70"/>
      <c r="F576" s="70"/>
      <c r="G576" s="70"/>
      <c r="H576" s="70"/>
      <c r="I576" s="70"/>
      <c r="J576" s="70"/>
    </row>
    <row r="577" spans="1:10" ht="16" x14ac:dyDescent="0.2">
      <c r="A577" s="70"/>
      <c r="B577" s="70"/>
      <c r="C577" s="70"/>
      <c r="D577" s="70"/>
      <c r="E577" s="70"/>
      <c r="F577" s="70"/>
      <c r="G577" s="70"/>
      <c r="H577" s="70"/>
      <c r="I577" s="70"/>
      <c r="J577" s="70"/>
    </row>
    <row r="578" spans="1:10" ht="16" x14ac:dyDescent="0.2">
      <c r="A578" s="70"/>
      <c r="B578" s="70"/>
      <c r="C578" s="70"/>
      <c r="D578" s="70"/>
      <c r="E578" s="70"/>
      <c r="F578" s="70"/>
      <c r="G578" s="70"/>
      <c r="H578" s="70"/>
      <c r="I578" s="70"/>
      <c r="J578" s="70"/>
    </row>
    <row r="579" spans="1:10" ht="16" x14ac:dyDescent="0.2">
      <c r="A579" s="70"/>
      <c r="B579" s="70"/>
      <c r="C579" s="70"/>
      <c r="D579" s="70"/>
      <c r="E579" s="70"/>
      <c r="F579" s="70"/>
      <c r="G579" s="70"/>
      <c r="H579" s="70"/>
      <c r="I579" s="70"/>
      <c r="J579" s="70"/>
    </row>
    <row r="580" spans="1:10" ht="16" x14ac:dyDescent="0.2">
      <c r="A580" s="70"/>
      <c r="B580" s="70"/>
      <c r="C580" s="70"/>
      <c r="D580" s="70"/>
      <c r="E580" s="70"/>
      <c r="F580" s="70"/>
      <c r="G580" s="70"/>
      <c r="H580" s="70"/>
      <c r="I580" s="70"/>
      <c r="J580" s="70"/>
    </row>
    <row r="581" spans="1:10" ht="16" x14ac:dyDescent="0.2">
      <c r="A581" s="70"/>
      <c r="B581" s="70"/>
      <c r="C581" s="70"/>
      <c r="D581" s="70"/>
      <c r="E581" s="70"/>
      <c r="F581" s="70"/>
      <c r="G581" s="70"/>
      <c r="H581" s="70"/>
      <c r="I581" s="70"/>
      <c r="J581" s="70"/>
    </row>
    <row r="582" spans="1:10" ht="16" x14ac:dyDescent="0.2">
      <c r="A582" s="70"/>
      <c r="B582" s="70"/>
      <c r="C582" s="70"/>
      <c r="D582" s="70"/>
      <c r="E582" s="70"/>
      <c r="F582" s="70"/>
      <c r="G582" s="70"/>
      <c r="H582" s="70"/>
      <c r="I582" s="70"/>
      <c r="J582" s="70"/>
    </row>
    <row r="583" spans="1:10" ht="16" x14ac:dyDescent="0.2">
      <c r="A583" s="70"/>
      <c r="B583" s="70"/>
      <c r="C583" s="70"/>
      <c r="D583" s="70"/>
      <c r="E583" s="70"/>
      <c r="F583" s="70"/>
      <c r="G583" s="70"/>
      <c r="H583" s="70"/>
      <c r="I583" s="70"/>
      <c r="J583" s="70"/>
    </row>
    <row r="584" spans="1:10" ht="16" x14ac:dyDescent="0.2">
      <c r="A584" s="70"/>
      <c r="B584" s="70"/>
      <c r="C584" s="70"/>
      <c r="D584" s="70"/>
      <c r="E584" s="70"/>
      <c r="F584" s="70"/>
      <c r="G584" s="70"/>
      <c r="H584" s="70"/>
      <c r="I584" s="70"/>
      <c r="J584" s="70"/>
    </row>
    <row r="585" spans="1:10" ht="16" x14ac:dyDescent="0.2">
      <c r="A585" s="70"/>
      <c r="B585" s="70"/>
      <c r="C585" s="70"/>
      <c r="D585" s="70"/>
      <c r="E585" s="70"/>
      <c r="F585" s="70"/>
      <c r="G585" s="70"/>
      <c r="H585" s="70"/>
      <c r="I585" s="70"/>
      <c r="J585" s="70"/>
    </row>
    <row r="586" spans="1:10" ht="16" x14ac:dyDescent="0.2">
      <c r="A586" s="70"/>
      <c r="B586" s="70"/>
      <c r="C586" s="70"/>
      <c r="D586" s="70"/>
      <c r="E586" s="70"/>
      <c r="F586" s="70"/>
      <c r="G586" s="70"/>
      <c r="H586" s="70"/>
      <c r="I586" s="70"/>
      <c r="J586" s="70"/>
    </row>
    <row r="587" spans="1:10" ht="16" x14ac:dyDescent="0.2">
      <c r="A587" s="70"/>
      <c r="B587" s="70"/>
      <c r="C587" s="70"/>
      <c r="D587" s="70"/>
      <c r="E587" s="70"/>
      <c r="F587" s="70"/>
      <c r="G587" s="70"/>
      <c r="H587" s="70"/>
      <c r="I587" s="70"/>
      <c r="J587" s="70"/>
    </row>
    <row r="588" spans="1:10" ht="16" x14ac:dyDescent="0.2">
      <c r="A588" s="70"/>
      <c r="B588" s="70"/>
      <c r="C588" s="70"/>
      <c r="D588" s="70"/>
      <c r="E588" s="70"/>
      <c r="F588" s="70"/>
      <c r="G588" s="70"/>
      <c r="H588" s="70"/>
      <c r="I588" s="70"/>
      <c r="J588" s="70"/>
    </row>
    <row r="589" spans="1:10" ht="16" x14ac:dyDescent="0.2">
      <c r="A589" s="70"/>
      <c r="B589" s="70"/>
      <c r="C589" s="70"/>
      <c r="D589" s="70"/>
      <c r="E589" s="70"/>
      <c r="F589" s="70"/>
      <c r="G589" s="70"/>
      <c r="H589" s="70"/>
      <c r="I589" s="70"/>
      <c r="J589" s="70"/>
    </row>
    <row r="590" spans="1:10" ht="16" x14ac:dyDescent="0.2">
      <c r="A590" s="70"/>
      <c r="B590" s="70"/>
      <c r="C590" s="70"/>
      <c r="D590" s="70"/>
      <c r="E590" s="70"/>
      <c r="F590" s="70"/>
      <c r="G590" s="70"/>
      <c r="H590" s="70"/>
      <c r="I590" s="70"/>
      <c r="J590" s="70"/>
    </row>
    <row r="591" spans="1:10" ht="16" x14ac:dyDescent="0.2">
      <c r="A591" s="70"/>
      <c r="B591" s="70"/>
      <c r="C591" s="70"/>
      <c r="D591" s="70"/>
      <c r="E591" s="70"/>
      <c r="F591" s="70"/>
      <c r="G591" s="70"/>
      <c r="H591" s="70"/>
      <c r="I591" s="70"/>
      <c r="J591" s="70"/>
    </row>
    <row r="592" spans="1:10" ht="16" x14ac:dyDescent="0.2">
      <c r="A592" s="70"/>
      <c r="B592" s="70"/>
      <c r="C592" s="70"/>
      <c r="D592" s="70"/>
      <c r="E592" s="70"/>
      <c r="F592" s="70"/>
      <c r="G592" s="70"/>
      <c r="H592" s="70"/>
      <c r="I592" s="70"/>
      <c r="J592" s="70"/>
    </row>
    <row r="593" spans="1:10" ht="16" x14ac:dyDescent="0.2">
      <c r="A593" s="70"/>
      <c r="B593" s="70"/>
      <c r="C593" s="70"/>
      <c r="D593" s="70"/>
      <c r="E593" s="70"/>
      <c r="F593" s="70"/>
      <c r="G593" s="70"/>
      <c r="H593" s="70"/>
      <c r="I593" s="70"/>
      <c r="J593" s="70"/>
    </row>
    <row r="594" spans="1:10" ht="16" x14ac:dyDescent="0.2">
      <c r="A594" s="70"/>
      <c r="B594" s="70"/>
      <c r="C594" s="70"/>
      <c r="D594" s="70"/>
      <c r="E594" s="70"/>
      <c r="F594" s="70"/>
      <c r="G594" s="70"/>
      <c r="H594" s="70"/>
      <c r="I594" s="70"/>
      <c r="J594" s="70"/>
    </row>
    <row r="595" spans="1:10" ht="16" x14ac:dyDescent="0.2">
      <c r="A595" s="70"/>
      <c r="B595" s="70"/>
      <c r="C595" s="70"/>
      <c r="D595" s="70"/>
      <c r="E595" s="70"/>
      <c r="F595" s="70"/>
      <c r="G595" s="70"/>
      <c r="H595" s="70"/>
      <c r="I595" s="70"/>
      <c r="J595" s="70"/>
    </row>
    <row r="596" spans="1:10" ht="16" x14ac:dyDescent="0.2">
      <c r="A596" s="70"/>
      <c r="B596" s="70"/>
      <c r="C596" s="70"/>
      <c r="D596" s="70"/>
      <c r="E596" s="70"/>
      <c r="F596" s="70"/>
      <c r="G596" s="70"/>
      <c r="H596" s="70"/>
      <c r="I596" s="70"/>
      <c r="J596" s="70"/>
    </row>
    <row r="597" spans="1:10" ht="16" x14ac:dyDescent="0.2">
      <c r="A597" s="70"/>
      <c r="B597" s="70"/>
      <c r="C597" s="70"/>
      <c r="D597" s="70"/>
      <c r="E597" s="70"/>
      <c r="F597" s="70"/>
      <c r="G597" s="70"/>
      <c r="H597" s="70"/>
      <c r="I597" s="70"/>
      <c r="J597" s="70"/>
    </row>
    <row r="598" spans="1:10" ht="16" x14ac:dyDescent="0.2">
      <c r="A598" s="70"/>
      <c r="B598" s="70"/>
      <c r="C598" s="70"/>
      <c r="D598" s="70"/>
      <c r="E598" s="70"/>
      <c r="F598" s="70"/>
      <c r="G598" s="70"/>
      <c r="H598" s="70"/>
      <c r="I598" s="70"/>
      <c r="J598" s="70"/>
    </row>
    <row r="599" spans="1:10" ht="16" x14ac:dyDescent="0.2">
      <c r="A599" s="70"/>
      <c r="B599" s="70"/>
      <c r="C599" s="70"/>
      <c r="D599" s="70"/>
      <c r="E599" s="70"/>
      <c r="F599" s="70"/>
      <c r="G599" s="70"/>
      <c r="H599" s="70"/>
      <c r="I599" s="70"/>
      <c r="J599" s="70"/>
    </row>
    <row r="600" spans="1:10" ht="16" x14ac:dyDescent="0.2">
      <c r="A600" s="70"/>
      <c r="B600" s="70"/>
      <c r="C600" s="70"/>
      <c r="D600" s="70"/>
      <c r="E600" s="70"/>
      <c r="F600" s="70"/>
      <c r="G600" s="70"/>
      <c r="H600" s="70"/>
      <c r="I600" s="70"/>
      <c r="J600" s="70"/>
    </row>
    <row r="601" spans="1:10" ht="16" x14ac:dyDescent="0.2">
      <c r="A601" s="70"/>
      <c r="B601" s="70"/>
      <c r="C601" s="70"/>
      <c r="D601" s="70"/>
      <c r="E601" s="70"/>
      <c r="F601" s="70"/>
      <c r="G601" s="70"/>
      <c r="H601" s="70"/>
      <c r="I601" s="70"/>
      <c r="J601" s="70"/>
    </row>
    <row r="602" spans="1:10" ht="16" x14ac:dyDescent="0.2">
      <c r="A602" s="70"/>
      <c r="B602" s="70"/>
      <c r="C602" s="70"/>
      <c r="D602" s="70"/>
      <c r="E602" s="70"/>
      <c r="F602" s="70"/>
      <c r="G602" s="70"/>
      <c r="H602" s="70"/>
      <c r="I602" s="70"/>
      <c r="J602" s="70"/>
    </row>
    <row r="603" spans="1:10" ht="16" x14ac:dyDescent="0.2">
      <c r="A603" s="70"/>
      <c r="B603" s="70"/>
      <c r="C603" s="70"/>
      <c r="D603" s="70"/>
      <c r="E603" s="70"/>
      <c r="F603" s="70"/>
      <c r="G603" s="70"/>
      <c r="H603" s="70"/>
      <c r="I603" s="70"/>
      <c r="J603" s="70"/>
    </row>
    <row r="604" spans="1:10" ht="16" x14ac:dyDescent="0.2">
      <c r="A604" s="70"/>
      <c r="B604" s="70"/>
      <c r="C604" s="70"/>
      <c r="D604" s="70"/>
      <c r="E604" s="70"/>
      <c r="F604" s="70"/>
      <c r="G604" s="70"/>
      <c r="H604" s="70"/>
      <c r="I604" s="70"/>
      <c r="J604" s="70"/>
    </row>
    <row r="605" spans="1:10" ht="16" x14ac:dyDescent="0.2">
      <c r="A605" s="70"/>
      <c r="B605" s="70"/>
      <c r="C605" s="70"/>
      <c r="D605" s="70"/>
      <c r="E605" s="70"/>
      <c r="F605" s="70"/>
      <c r="G605" s="70"/>
      <c r="H605" s="70"/>
      <c r="I605" s="70"/>
      <c r="J605" s="70"/>
    </row>
    <row r="606" spans="1:10" ht="16" x14ac:dyDescent="0.2">
      <c r="A606" s="70"/>
      <c r="B606" s="70"/>
      <c r="C606" s="70"/>
      <c r="D606" s="70"/>
      <c r="E606" s="70"/>
      <c r="F606" s="70"/>
      <c r="G606" s="70"/>
      <c r="H606" s="70"/>
      <c r="I606" s="70"/>
      <c r="J606" s="70"/>
    </row>
    <row r="607" spans="1:10" ht="16" x14ac:dyDescent="0.2">
      <c r="A607" s="70"/>
      <c r="B607" s="70"/>
      <c r="C607" s="70"/>
      <c r="D607" s="70"/>
      <c r="E607" s="70"/>
      <c r="F607" s="70"/>
      <c r="G607" s="70"/>
      <c r="H607" s="70"/>
      <c r="I607" s="70"/>
      <c r="J607" s="70"/>
    </row>
    <row r="608" spans="1:10" ht="16" x14ac:dyDescent="0.2">
      <c r="A608" s="70"/>
      <c r="B608" s="70"/>
      <c r="C608" s="70"/>
      <c r="D608" s="70"/>
      <c r="E608" s="70"/>
      <c r="F608" s="70"/>
      <c r="G608" s="70"/>
      <c r="H608" s="70"/>
      <c r="I608" s="70"/>
      <c r="J608" s="70"/>
    </row>
    <row r="609" spans="1:10" ht="16" x14ac:dyDescent="0.2">
      <c r="A609" s="70"/>
      <c r="B609" s="70"/>
      <c r="C609" s="70"/>
      <c r="D609" s="70"/>
      <c r="E609" s="70"/>
      <c r="F609" s="70"/>
      <c r="G609" s="70"/>
      <c r="H609" s="70"/>
      <c r="I609" s="70"/>
      <c r="J609" s="70"/>
    </row>
    <row r="610" spans="1:10" ht="16" x14ac:dyDescent="0.2">
      <c r="A610" s="70"/>
      <c r="B610" s="70"/>
      <c r="C610" s="70"/>
      <c r="D610" s="70"/>
      <c r="E610" s="70"/>
      <c r="F610" s="70"/>
      <c r="G610" s="70"/>
      <c r="H610" s="70"/>
      <c r="I610" s="70"/>
      <c r="J610" s="70"/>
    </row>
    <row r="611" spans="1:10" ht="16" x14ac:dyDescent="0.2">
      <c r="A611" s="70"/>
      <c r="B611" s="70"/>
      <c r="C611" s="70"/>
      <c r="D611" s="70"/>
      <c r="E611" s="70"/>
      <c r="F611" s="70"/>
      <c r="G611" s="70"/>
      <c r="H611" s="70"/>
      <c r="I611" s="70"/>
      <c r="J611" s="70"/>
    </row>
    <row r="612" spans="1:10" ht="16" x14ac:dyDescent="0.2">
      <c r="A612" s="70"/>
      <c r="B612" s="70"/>
      <c r="C612" s="70"/>
      <c r="D612" s="70"/>
      <c r="E612" s="70"/>
      <c r="F612" s="70"/>
      <c r="G612" s="70"/>
      <c r="H612" s="70"/>
      <c r="I612" s="70"/>
      <c r="J612" s="70"/>
    </row>
    <row r="613" spans="1:10" ht="16" x14ac:dyDescent="0.2">
      <c r="A613" s="70"/>
      <c r="B613" s="70"/>
      <c r="C613" s="70"/>
      <c r="D613" s="70"/>
      <c r="E613" s="70"/>
      <c r="F613" s="70"/>
      <c r="G613" s="70"/>
      <c r="H613" s="70"/>
      <c r="I613" s="70"/>
      <c r="J613" s="70"/>
    </row>
    <row r="614" spans="1:10" ht="16" x14ac:dyDescent="0.2">
      <c r="A614" s="70"/>
      <c r="B614" s="70"/>
      <c r="C614" s="70"/>
      <c r="D614" s="70"/>
      <c r="E614" s="70"/>
      <c r="F614" s="70"/>
      <c r="G614" s="70"/>
      <c r="H614" s="70"/>
      <c r="I614" s="70"/>
      <c r="J614" s="70"/>
    </row>
    <row r="615" spans="1:10" ht="16" x14ac:dyDescent="0.2">
      <c r="A615" s="70"/>
      <c r="B615" s="70"/>
      <c r="C615" s="70"/>
      <c r="D615" s="70"/>
      <c r="E615" s="70"/>
      <c r="F615" s="70"/>
      <c r="G615" s="70"/>
      <c r="H615" s="70"/>
      <c r="I615" s="70"/>
      <c r="J615" s="70"/>
    </row>
    <row r="616" spans="1:10" ht="16" x14ac:dyDescent="0.2">
      <c r="A616" s="70"/>
      <c r="B616" s="70"/>
      <c r="C616" s="70"/>
      <c r="D616" s="70"/>
      <c r="E616" s="70"/>
      <c r="F616" s="70"/>
      <c r="G616" s="70"/>
      <c r="H616" s="70"/>
      <c r="I616" s="70"/>
      <c r="J616" s="70"/>
    </row>
    <row r="617" spans="1:10" ht="16" x14ac:dyDescent="0.2">
      <c r="A617" s="70"/>
      <c r="B617" s="70"/>
      <c r="C617" s="70"/>
      <c r="D617" s="70"/>
      <c r="E617" s="70"/>
      <c r="F617" s="70"/>
      <c r="G617" s="70"/>
      <c r="H617" s="70"/>
      <c r="I617" s="70"/>
      <c r="J617" s="70"/>
    </row>
    <row r="618" spans="1:10" ht="16" x14ac:dyDescent="0.2">
      <c r="A618" s="70"/>
      <c r="B618" s="70"/>
      <c r="C618" s="70"/>
      <c r="D618" s="70"/>
      <c r="E618" s="70"/>
      <c r="F618" s="70"/>
      <c r="G618" s="70"/>
      <c r="H618" s="70"/>
      <c r="I618" s="70"/>
      <c r="J618" s="70"/>
    </row>
    <row r="619" spans="1:10" ht="16" x14ac:dyDescent="0.2">
      <c r="A619" s="70"/>
      <c r="B619" s="70"/>
      <c r="C619" s="70"/>
      <c r="D619" s="70"/>
      <c r="E619" s="70"/>
      <c r="F619" s="70"/>
      <c r="G619" s="70"/>
      <c r="H619" s="70"/>
      <c r="I619" s="70"/>
      <c r="J619" s="70"/>
    </row>
    <row r="620" spans="1:10" ht="16" x14ac:dyDescent="0.2">
      <c r="A620" s="70"/>
      <c r="B620" s="70"/>
      <c r="C620" s="70"/>
      <c r="D620" s="70"/>
      <c r="E620" s="70"/>
      <c r="F620" s="70"/>
      <c r="G620" s="70"/>
      <c r="H620" s="70"/>
      <c r="I620" s="70"/>
      <c r="J620" s="70"/>
    </row>
    <row r="621" spans="1:10" ht="16" x14ac:dyDescent="0.2">
      <c r="A621" s="70"/>
      <c r="B621" s="70"/>
      <c r="C621" s="70"/>
      <c r="D621" s="70"/>
      <c r="E621" s="70"/>
      <c r="F621" s="70"/>
      <c r="G621" s="70"/>
      <c r="H621" s="70"/>
      <c r="I621" s="70"/>
      <c r="J621" s="70"/>
    </row>
    <row r="622" spans="1:10" ht="16" x14ac:dyDescent="0.2">
      <c r="A622" s="70"/>
      <c r="B622" s="70"/>
      <c r="C622" s="70"/>
      <c r="D622" s="70"/>
      <c r="E622" s="70"/>
      <c r="F622" s="70"/>
      <c r="G622" s="70"/>
      <c r="H622" s="70"/>
      <c r="I622" s="70"/>
      <c r="J622" s="70"/>
    </row>
    <row r="623" spans="1:10" ht="16" x14ac:dyDescent="0.2">
      <c r="A623" s="70"/>
      <c r="B623" s="70"/>
      <c r="C623" s="70"/>
      <c r="D623" s="70"/>
      <c r="E623" s="70"/>
      <c r="F623" s="70"/>
      <c r="G623" s="70"/>
      <c r="H623" s="70"/>
      <c r="I623" s="70"/>
      <c r="J623" s="70"/>
    </row>
    <row r="624" spans="1:10" ht="16" x14ac:dyDescent="0.2">
      <c r="A624" s="70"/>
      <c r="B624" s="70"/>
      <c r="C624" s="70"/>
      <c r="D624" s="70"/>
      <c r="E624" s="70"/>
      <c r="F624" s="70"/>
      <c r="G624" s="70"/>
      <c r="H624" s="70"/>
      <c r="I624" s="70"/>
      <c r="J624" s="70"/>
    </row>
    <row r="625" spans="1:10" ht="16" x14ac:dyDescent="0.2">
      <c r="A625" s="70"/>
      <c r="B625" s="70"/>
      <c r="C625" s="70"/>
      <c r="D625" s="70"/>
      <c r="E625" s="70"/>
      <c r="F625" s="70"/>
      <c r="G625" s="70"/>
      <c r="H625" s="70"/>
      <c r="I625" s="70"/>
      <c r="J625" s="70"/>
    </row>
    <row r="626" spans="1:10" ht="16" x14ac:dyDescent="0.2">
      <c r="A626" s="70"/>
      <c r="B626" s="70"/>
      <c r="C626" s="70"/>
      <c r="D626" s="70"/>
      <c r="E626" s="70"/>
      <c r="F626" s="70"/>
      <c r="G626" s="70"/>
      <c r="H626" s="70"/>
      <c r="I626" s="70"/>
      <c r="J626" s="70"/>
    </row>
    <row r="627" spans="1:10" ht="16" x14ac:dyDescent="0.2">
      <c r="A627" s="70"/>
      <c r="B627" s="70"/>
      <c r="C627" s="70"/>
      <c r="D627" s="70"/>
      <c r="E627" s="70"/>
      <c r="F627" s="70"/>
      <c r="G627" s="70"/>
      <c r="H627" s="70"/>
      <c r="I627" s="70"/>
      <c r="J627" s="70"/>
    </row>
    <row r="628" spans="1:10" ht="16" x14ac:dyDescent="0.2">
      <c r="A628" s="70"/>
      <c r="B628" s="70"/>
      <c r="C628" s="70"/>
      <c r="D628" s="70"/>
      <c r="E628" s="70"/>
      <c r="F628" s="70"/>
      <c r="G628" s="70"/>
      <c r="H628" s="70"/>
      <c r="I628" s="70"/>
      <c r="J628" s="70"/>
    </row>
    <row r="629" spans="1:10" ht="16" x14ac:dyDescent="0.2">
      <c r="A629" s="70"/>
      <c r="B629" s="70"/>
      <c r="C629" s="70"/>
      <c r="D629" s="70"/>
      <c r="E629" s="70"/>
      <c r="F629" s="70"/>
      <c r="G629" s="70"/>
      <c r="H629" s="70"/>
      <c r="I629" s="70"/>
      <c r="J629" s="70"/>
    </row>
    <row r="630" spans="1:10" ht="16" x14ac:dyDescent="0.2">
      <c r="A630" s="70"/>
      <c r="B630" s="70"/>
      <c r="C630" s="70"/>
      <c r="D630" s="70"/>
      <c r="E630" s="70"/>
      <c r="F630" s="70"/>
      <c r="G630" s="70"/>
      <c r="H630" s="70"/>
      <c r="I630" s="70"/>
      <c r="J630" s="70"/>
    </row>
    <row r="631" spans="1:10" ht="16" x14ac:dyDescent="0.2">
      <c r="A631" s="70"/>
      <c r="B631" s="70"/>
      <c r="C631" s="70"/>
      <c r="D631" s="70"/>
      <c r="E631" s="70"/>
      <c r="F631" s="70"/>
      <c r="G631" s="70"/>
      <c r="H631" s="70"/>
      <c r="I631" s="70"/>
      <c r="J631" s="70"/>
    </row>
    <row r="632" spans="1:10" ht="16" x14ac:dyDescent="0.2">
      <c r="A632" s="70"/>
      <c r="B632" s="70"/>
      <c r="C632" s="70"/>
      <c r="D632" s="70"/>
      <c r="E632" s="70"/>
      <c r="F632" s="70"/>
      <c r="G632" s="70"/>
      <c r="H632" s="70"/>
      <c r="I632" s="70"/>
      <c r="J632" s="70"/>
    </row>
    <row r="633" spans="1:10" ht="16" x14ac:dyDescent="0.2">
      <c r="A633" s="70"/>
      <c r="B633" s="70"/>
      <c r="C633" s="70"/>
      <c r="D633" s="70"/>
      <c r="E633" s="70"/>
      <c r="F633" s="70"/>
      <c r="G633" s="70"/>
      <c r="H633" s="70"/>
      <c r="I633" s="70"/>
      <c r="J633" s="70"/>
    </row>
    <row r="634" spans="1:10" ht="16" x14ac:dyDescent="0.2">
      <c r="A634" s="70"/>
      <c r="B634" s="70"/>
      <c r="C634" s="70"/>
      <c r="D634" s="70"/>
      <c r="E634" s="70"/>
      <c r="F634" s="70"/>
      <c r="G634" s="70"/>
      <c r="H634" s="70"/>
      <c r="I634" s="70"/>
      <c r="J634" s="70"/>
    </row>
    <row r="635" spans="1:10" ht="16" x14ac:dyDescent="0.2">
      <c r="A635" s="70"/>
      <c r="B635" s="70"/>
      <c r="C635" s="70"/>
      <c r="D635" s="70"/>
      <c r="E635" s="70"/>
      <c r="F635" s="70"/>
      <c r="G635" s="70"/>
      <c r="H635" s="70"/>
      <c r="I635" s="70"/>
      <c r="J635" s="70"/>
    </row>
    <row r="636" spans="1:10" ht="16" x14ac:dyDescent="0.2">
      <c r="A636" s="70"/>
      <c r="B636" s="70"/>
      <c r="C636" s="70"/>
      <c r="D636" s="70"/>
      <c r="E636" s="70"/>
      <c r="F636" s="70"/>
      <c r="G636" s="70"/>
      <c r="H636" s="70"/>
      <c r="I636" s="70"/>
      <c r="J636" s="70"/>
    </row>
    <row r="637" spans="1:10" ht="16" x14ac:dyDescent="0.2">
      <c r="A637" s="70"/>
      <c r="B637" s="70"/>
      <c r="C637" s="70"/>
      <c r="D637" s="70"/>
      <c r="E637" s="70"/>
      <c r="F637" s="70"/>
      <c r="G637" s="70"/>
      <c r="H637" s="70"/>
      <c r="I637" s="70"/>
      <c r="J637" s="70"/>
    </row>
    <row r="638" spans="1:10" ht="16" x14ac:dyDescent="0.2">
      <c r="A638" s="70"/>
      <c r="B638" s="70"/>
      <c r="C638" s="70"/>
      <c r="D638" s="70"/>
      <c r="E638" s="70"/>
      <c r="F638" s="70"/>
      <c r="G638" s="70"/>
      <c r="H638" s="70"/>
      <c r="I638" s="70"/>
      <c r="J638" s="70"/>
    </row>
    <row r="639" spans="1:10" ht="16" x14ac:dyDescent="0.2">
      <c r="A639" s="70"/>
      <c r="B639" s="70"/>
      <c r="C639" s="70"/>
      <c r="D639" s="70"/>
      <c r="E639" s="70"/>
      <c r="F639" s="70"/>
      <c r="G639" s="70"/>
      <c r="H639" s="70"/>
      <c r="I639" s="70"/>
      <c r="J639" s="70"/>
    </row>
    <row r="640" spans="1:10" ht="16" x14ac:dyDescent="0.2">
      <c r="A640" s="70"/>
      <c r="B640" s="70"/>
      <c r="C640" s="70"/>
      <c r="D640" s="70"/>
      <c r="E640" s="70"/>
      <c r="F640" s="70"/>
      <c r="G640" s="70"/>
      <c r="H640" s="70"/>
      <c r="I640" s="70"/>
      <c r="J640" s="70"/>
    </row>
    <row r="641" spans="1:10" ht="16" x14ac:dyDescent="0.2">
      <c r="A641" s="70"/>
      <c r="B641" s="70"/>
      <c r="C641" s="70"/>
      <c r="D641" s="70"/>
      <c r="E641" s="70"/>
      <c r="F641" s="70"/>
      <c r="G641" s="70"/>
      <c r="H641" s="70"/>
      <c r="I641" s="70"/>
      <c r="J641" s="70"/>
    </row>
    <row r="642" spans="1:10" ht="16" x14ac:dyDescent="0.2">
      <c r="A642" s="70"/>
      <c r="B642" s="70"/>
      <c r="C642" s="70"/>
      <c r="D642" s="70"/>
      <c r="E642" s="70"/>
      <c r="F642" s="70"/>
      <c r="G642" s="70"/>
      <c r="H642" s="70"/>
      <c r="I642" s="70"/>
      <c r="J642" s="70"/>
    </row>
    <row r="643" spans="1:10" ht="16" x14ac:dyDescent="0.2">
      <c r="A643" s="70"/>
      <c r="B643" s="70"/>
      <c r="C643" s="70"/>
      <c r="D643" s="70"/>
      <c r="E643" s="70"/>
      <c r="F643" s="70"/>
      <c r="G643" s="70"/>
      <c r="H643" s="70"/>
      <c r="I643" s="70"/>
      <c r="J643" s="70"/>
    </row>
    <row r="644" spans="1:10" ht="16" x14ac:dyDescent="0.2">
      <c r="A644" s="70"/>
      <c r="B644" s="70"/>
      <c r="C644" s="70"/>
      <c r="D644" s="70"/>
      <c r="E644" s="70"/>
      <c r="F644" s="70"/>
      <c r="G644" s="70"/>
      <c r="H644" s="70"/>
      <c r="I644" s="70"/>
      <c r="J644" s="70"/>
    </row>
    <row r="645" spans="1:10" ht="16" x14ac:dyDescent="0.2">
      <c r="A645" s="70"/>
      <c r="B645" s="70"/>
      <c r="C645" s="70"/>
      <c r="D645" s="70"/>
      <c r="E645" s="70"/>
      <c r="F645" s="70"/>
      <c r="G645" s="70"/>
      <c r="H645" s="70"/>
      <c r="I645" s="70"/>
      <c r="J645" s="70"/>
    </row>
    <row r="646" spans="1:10" ht="16" x14ac:dyDescent="0.2">
      <c r="A646" s="70"/>
      <c r="B646" s="70"/>
      <c r="C646" s="70"/>
      <c r="D646" s="70"/>
      <c r="E646" s="70"/>
      <c r="F646" s="70"/>
      <c r="G646" s="70"/>
      <c r="H646" s="70"/>
      <c r="I646" s="70"/>
      <c r="J646" s="70"/>
    </row>
    <row r="647" spans="1:10" ht="16" x14ac:dyDescent="0.2">
      <c r="A647" s="70"/>
      <c r="B647" s="70"/>
      <c r="C647" s="70"/>
      <c r="D647" s="70"/>
      <c r="E647" s="70"/>
      <c r="F647" s="70"/>
      <c r="G647" s="70"/>
      <c r="H647" s="70"/>
      <c r="I647" s="70"/>
      <c r="J647" s="70"/>
    </row>
    <row r="648" spans="1:10" ht="16" x14ac:dyDescent="0.2">
      <c r="A648" s="70"/>
      <c r="B648" s="70"/>
      <c r="C648" s="70"/>
      <c r="D648" s="70"/>
      <c r="E648" s="70"/>
      <c r="F648" s="70"/>
      <c r="G648" s="70"/>
      <c r="H648" s="70"/>
      <c r="I648" s="70"/>
      <c r="J648" s="70"/>
    </row>
    <row r="649" spans="1:10" ht="16" x14ac:dyDescent="0.2">
      <c r="A649" s="70"/>
      <c r="B649" s="70"/>
      <c r="C649" s="70"/>
      <c r="D649" s="70"/>
      <c r="E649" s="70"/>
      <c r="F649" s="70"/>
      <c r="G649" s="70"/>
      <c r="H649" s="70"/>
      <c r="I649" s="70"/>
      <c r="J649" s="70"/>
    </row>
    <row r="650" spans="1:10" ht="16" x14ac:dyDescent="0.2">
      <c r="A650" s="70"/>
      <c r="B650" s="70"/>
      <c r="C650" s="70"/>
      <c r="D650" s="70"/>
      <c r="E650" s="70"/>
      <c r="F650" s="70"/>
      <c r="G650" s="70"/>
      <c r="H650" s="70"/>
      <c r="I650" s="70"/>
      <c r="J650" s="70"/>
    </row>
    <row r="651" spans="1:10" ht="16" x14ac:dyDescent="0.2">
      <c r="A651" s="70"/>
      <c r="B651" s="70"/>
      <c r="C651" s="70"/>
      <c r="D651" s="70"/>
      <c r="E651" s="70"/>
      <c r="F651" s="70"/>
      <c r="G651" s="70"/>
      <c r="H651" s="70"/>
      <c r="I651" s="70"/>
      <c r="J651" s="70"/>
    </row>
    <row r="652" spans="1:10" ht="16" x14ac:dyDescent="0.2">
      <c r="A652" s="70"/>
      <c r="B652" s="70"/>
      <c r="C652" s="70"/>
      <c r="D652" s="70"/>
      <c r="E652" s="70"/>
      <c r="F652" s="70"/>
      <c r="G652" s="70"/>
      <c r="H652" s="70"/>
      <c r="I652" s="70"/>
      <c r="J652" s="70"/>
    </row>
    <row r="653" spans="1:10" ht="16" x14ac:dyDescent="0.2">
      <c r="A653" s="70"/>
      <c r="B653" s="70"/>
      <c r="C653" s="70"/>
      <c r="D653" s="70"/>
      <c r="E653" s="70"/>
      <c r="F653" s="70"/>
      <c r="G653" s="70"/>
      <c r="H653" s="70"/>
      <c r="I653" s="70"/>
      <c r="J653" s="70"/>
    </row>
    <row r="654" spans="1:10" ht="16" x14ac:dyDescent="0.2">
      <c r="A654" s="70"/>
      <c r="B654" s="70"/>
      <c r="C654" s="70"/>
      <c r="D654" s="70"/>
      <c r="E654" s="70"/>
      <c r="F654" s="70"/>
      <c r="G654" s="70"/>
      <c r="H654" s="70"/>
      <c r="I654" s="70"/>
      <c r="J654" s="70"/>
    </row>
    <row r="655" spans="1:10" ht="16" x14ac:dyDescent="0.2">
      <c r="A655" s="70"/>
      <c r="B655" s="70"/>
      <c r="C655" s="70"/>
      <c r="D655" s="70"/>
      <c r="E655" s="70"/>
      <c r="F655" s="70"/>
      <c r="G655" s="70"/>
      <c r="H655" s="70"/>
      <c r="I655" s="70"/>
      <c r="J655" s="70"/>
    </row>
    <row r="656" spans="1:10" ht="16" x14ac:dyDescent="0.2">
      <c r="A656" s="70"/>
      <c r="B656" s="70"/>
      <c r="C656" s="70"/>
      <c r="D656" s="70"/>
      <c r="E656" s="70"/>
      <c r="F656" s="70"/>
      <c r="G656" s="70"/>
      <c r="H656" s="70"/>
      <c r="I656" s="70"/>
      <c r="J656" s="70"/>
    </row>
    <row r="657" spans="1:10" ht="16" x14ac:dyDescent="0.2">
      <c r="A657" s="70"/>
      <c r="B657" s="70"/>
      <c r="C657" s="70"/>
      <c r="D657" s="70"/>
      <c r="E657" s="70"/>
      <c r="F657" s="70"/>
      <c r="G657" s="70"/>
      <c r="H657" s="70"/>
      <c r="I657" s="70"/>
      <c r="J657" s="70"/>
    </row>
    <row r="658" spans="1:10" ht="16" x14ac:dyDescent="0.2">
      <c r="A658" s="70"/>
      <c r="B658" s="70"/>
      <c r="C658" s="70"/>
      <c r="D658" s="70"/>
      <c r="E658" s="70"/>
      <c r="F658" s="70"/>
      <c r="G658" s="70"/>
      <c r="H658" s="70"/>
      <c r="I658" s="70"/>
      <c r="J658" s="70"/>
    </row>
    <row r="659" spans="1:10" ht="16" x14ac:dyDescent="0.2">
      <c r="A659" s="70"/>
      <c r="B659" s="70"/>
      <c r="C659" s="70"/>
      <c r="D659" s="70"/>
      <c r="E659" s="70"/>
      <c r="F659" s="70"/>
      <c r="G659" s="70"/>
      <c r="H659" s="70"/>
      <c r="I659" s="70"/>
      <c r="J659" s="70"/>
    </row>
    <row r="660" spans="1:10" ht="16" x14ac:dyDescent="0.2">
      <c r="A660" s="70"/>
      <c r="B660" s="70"/>
      <c r="C660" s="70"/>
      <c r="D660" s="70"/>
      <c r="E660" s="70"/>
      <c r="F660" s="70"/>
      <c r="G660" s="70"/>
      <c r="H660" s="70"/>
      <c r="I660" s="70"/>
      <c r="J660" s="70"/>
    </row>
    <row r="661" spans="1:10" ht="16" x14ac:dyDescent="0.2">
      <c r="A661" s="70"/>
      <c r="B661" s="70"/>
      <c r="C661" s="70"/>
      <c r="D661" s="70"/>
      <c r="E661" s="70"/>
      <c r="F661" s="70"/>
      <c r="G661" s="70"/>
      <c r="H661" s="70"/>
      <c r="I661" s="70"/>
      <c r="J661" s="70"/>
    </row>
    <row r="662" spans="1:10" ht="16" x14ac:dyDescent="0.2">
      <c r="A662" s="70"/>
      <c r="B662" s="70"/>
      <c r="C662" s="70"/>
      <c r="D662" s="70"/>
      <c r="E662" s="70"/>
      <c r="F662" s="70"/>
      <c r="G662" s="70"/>
      <c r="H662" s="70"/>
      <c r="I662" s="70"/>
      <c r="J662" s="70"/>
    </row>
    <row r="663" spans="1:10" ht="16" x14ac:dyDescent="0.2">
      <c r="A663" s="70"/>
      <c r="B663" s="70"/>
      <c r="C663" s="70"/>
      <c r="D663" s="70"/>
      <c r="E663" s="70"/>
      <c r="F663" s="70"/>
      <c r="G663" s="70"/>
      <c r="H663" s="70"/>
      <c r="I663" s="70"/>
      <c r="J663" s="70"/>
    </row>
    <row r="664" spans="1:10" ht="16" x14ac:dyDescent="0.2">
      <c r="A664" s="70"/>
      <c r="B664" s="70"/>
      <c r="C664" s="70"/>
      <c r="D664" s="70"/>
      <c r="E664" s="70"/>
      <c r="F664" s="70"/>
      <c r="G664" s="70"/>
      <c r="H664" s="70"/>
      <c r="I664" s="70"/>
      <c r="J664" s="70"/>
    </row>
    <row r="665" spans="1:10" ht="16" x14ac:dyDescent="0.2">
      <c r="A665" s="70"/>
      <c r="B665" s="70"/>
      <c r="C665" s="70"/>
      <c r="D665" s="70"/>
      <c r="E665" s="70"/>
      <c r="F665" s="70"/>
      <c r="G665" s="70"/>
      <c r="H665" s="70"/>
      <c r="I665" s="70"/>
      <c r="J665" s="70"/>
    </row>
    <row r="666" spans="1:10" ht="16" x14ac:dyDescent="0.2">
      <c r="A666" s="70"/>
      <c r="B666" s="70"/>
      <c r="C666" s="70"/>
      <c r="D666" s="70"/>
      <c r="E666" s="70"/>
      <c r="F666" s="70"/>
      <c r="G666" s="70"/>
      <c r="H666" s="70"/>
      <c r="I666" s="70"/>
      <c r="J666" s="70"/>
    </row>
    <row r="667" spans="1:10" ht="16" x14ac:dyDescent="0.2">
      <c r="A667" s="70"/>
      <c r="B667" s="70"/>
      <c r="C667" s="70"/>
      <c r="D667" s="70"/>
      <c r="E667" s="70"/>
      <c r="F667" s="70"/>
      <c r="G667" s="70"/>
      <c r="H667" s="70"/>
      <c r="I667" s="70"/>
      <c r="J667" s="70"/>
    </row>
    <row r="668" spans="1:10" ht="16" x14ac:dyDescent="0.2">
      <c r="A668" s="70"/>
      <c r="B668" s="70"/>
      <c r="C668" s="70"/>
      <c r="D668" s="70"/>
      <c r="E668" s="70"/>
      <c r="F668" s="70"/>
      <c r="G668" s="70"/>
      <c r="H668" s="70"/>
      <c r="I668" s="70"/>
      <c r="J668" s="70"/>
    </row>
    <row r="669" spans="1:10" ht="16" x14ac:dyDescent="0.2">
      <c r="A669" s="70"/>
      <c r="B669" s="70"/>
      <c r="C669" s="70"/>
      <c r="D669" s="70"/>
      <c r="E669" s="70"/>
      <c r="F669" s="70"/>
      <c r="G669" s="70"/>
      <c r="H669" s="70"/>
      <c r="I669" s="70"/>
      <c r="J669" s="70"/>
    </row>
    <row r="670" spans="1:10" ht="16" x14ac:dyDescent="0.2">
      <c r="A670" s="70"/>
      <c r="B670" s="70"/>
      <c r="C670" s="70"/>
      <c r="D670" s="70"/>
      <c r="E670" s="70"/>
      <c r="F670" s="70"/>
      <c r="G670" s="70"/>
      <c r="H670" s="70"/>
      <c r="I670" s="70"/>
      <c r="J670" s="70"/>
    </row>
    <row r="671" spans="1:10" ht="16" x14ac:dyDescent="0.2">
      <c r="A671" s="70"/>
      <c r="B671" s="70"/>
      <c r="C671" s="70"/>
      <c r="D671" s="70"/>
      <c r="E671" s="70"/>
      <c r="F671" s="70"/>
      <c r="G671" s="70"/>
      <c r="H671" s="70"/>
      <c r="I671" s="70"/>
      <c r="J671" s="70"/>
    </row>
    <row r="672" spans="1:10" ht="16" x14ac:dyDescent="0.2">
      <c r="A672" s="70"/>
      <c r="B672" s="70"/>
      <c r="C672" s="70"/>
      <c r="D672" s="70"/>
      <c r="E672" s="70"/>
      <c r="F672" s="70"/>
      <c r="G672" s="70"/>
      <c r="H672" s="70"/>
      <c r="I672" s="70"/>
      <c r="J672" s="70"/>
    </row>
    <row r="673" spans="1:10" ht="16" x14ac:dyDescent="0.2">
      <c r="A673" s="70"/>
      <c r="B673" s="70"/>
      <c r="C673" s="70"/>
      <c r="D673" s="70"/>
      <c r="E673" s="70"/>
      <c r="F673" s="70"/>
      <c r="G673" s="70"/>
      <c r="H673" s="70"/>
      <c r="I673" s="70"/>
      <c r="J673" s="70"/>
    </row>
    <row r="674" spans="1:10" ht="16" x14ac:dyDescent="0.2">
      <c r="A674" s="70"/>
      <c r="B674" s="70"/>
      <c r="C674" s="70"/>
      <c r="D674" s="70"/>
      <c r="E674" s="70"/>
      <c r="F674" s="70"/>
      <c r="G674" s="70"/>
      <c r="H674" s="70"/>
      <c r="I674" s="70"/>
      <c r="J674" s="70"/>
    </row>
    <row r="675" spans="1:10" ht="16" x14ac:dyDescent="0.2">
      <c r="A675" s="70"/>
      <c r="B675" s="70"/>
      <c r="C675" s="70"/>
      <c r="D675" s="70"/>
      <c r="E675" s="70"/>
      <c r="F675" s="70"/>
      <c r="G675" s="70"/>
      <c r="H675" s="70"/>
      <c r="I675" s="70"/>
      <c r="J675" s="70"/>
    </row>
    <row r="676" spans="1:10" ht="16" x14ac:dyDescent="0.2">
      <c r="A676" s="70"/>
      <c r="B676" s="70"/>
      <c r="C676" s="70"/>
      <c r="D676" s="70"/>
      <c r="E676" s="70"/>
      <c r="F676" s="70"/>
      <c r="G676" s="70"/>
      <c r="H676" s="70"/>
      <c r="I676" s="70"/>
      <c r="J676" s="70"/>
    </row>
    <row r="677" spans="1:10" ht="16" x14ac:dyDescent="0.2">
      <c r="A677" s="70"/>
      <c r="B677" s="70"/>
      <c r="C677" s="70"/>
      <c r="D677" s="70"/>
      <c r="E677" s="70"/>
      <c r="F677" s="70"/>
      <c r="G677" s="70"/>
      <c r="H677" s="70"/>
      <c r="I677" s="70"/>
      <c r="J677" s="70"/>
    </row>
    <row r="678" spans="1:10" ht="16" x14ac:dyDescent="0.2">
      <c r="A678" s="70"/>
      <c r="B678" s="70"/>
      <c r="C678" s="70"/>
      <c r="D678" s="70"/>
      <c r="E678" s="70"/>
      <c r="F678" s="70"/>
      <c r="G678" s="70"/>
      <c r="H678" s="70"/>
      <c r="I678" s="70"/>
      <c r="J678" s="70"/>
    </row>
    <row r="679" spans="1:10" ht="16" x14ac:dyDescent="0.2">
      <c r="A679" s="70"/>
      <c r="B679" s="70"/>
      <c r="C679" s="70"/>
      <c r="D679" s="70"/>
      <c r="E679" s="70"/>
      <c r="F679" s="70"/>
      <c r="G679" s="70"/>
      <c r="H679" s="70"/>
      <c r="I679" s="70"/>
      <c r="J679" s="70"/>
    </row>
    <row r="680" spans="1:10" ht="16" x14ac:dyDescent="0.2">
      <c r="A680" s="70"/>
      <c r="B680" s="70"/>
      <c r="C680" s="70"/>
      <c r="D680" s="70"/>
      <c r="E680" s="70"/>
      <c r="F680" s="70"/>
      <c r="G680" s="70"/>
      <c r="H680" s="70"/>
      <c r="I680" s="70"/>
      <c r="J680" s="70"/>
    </row>
    <row r="681" spans="1:10" ht="16" x14ac:dyDescent="0.2">
      <c r="A681" s="70"/>
      <c r="B681" s="70"/>
      <c r="C681" s="70"/>
      <c r="D681" s="70"/>
      <c r="E681" s="70"/>
      <c r="F681" s="70"/>
      <c r="G681" s="70"/>
      <c r="H681" s="70"/>
      <c r="I681" s="70"/>
      <c r="J681" s="70"/>
    </row>
    <row r="682" spans="1:10" ht="16" x14ac:dyDescent="0.2">
      <c r="A682" s="70"/>
      <c r="B682" s="70"/>
      <c r="C682" s="70"/>
      <c r="D682" s="70"/>
      <c r="E682" s="70"/>
      <c r="F682" s="70"/>
      <c r="G682" s="70"/>
      <c r="H682" s="70"/>
      <c r="I682" s="70"/>
      <c r="J682" s="70"/>
    </row>
    <row r="683" spans="1:10" ht="16" x14ac:dyDescent="0.2">
      <c r="A683" s="70"/>
      <c r="B683" s="70"/>
      <c r="C683" s="70"/>
      <c r="D683" s="70"/>
      <c r="E683" s="70"/>
      <c r="F683" s="70"/>
      <c r="G683" s="70"/>
      <c r="H683" s="70"/>
      <c r="I683" s="70"/>
      <c r="J683" s="70"/>
    </row>
    <row r="684" spans="1:10" ht="16" x14ac:dyDescent="0.2">
      <c r="A684" s="70"/>
      <c r="B684" s="70"/>
      <c r="C684" s="70"/>
      <c r="D684" s="70"/>
      <c r="E684" s="70"/>
      <c r="F684" s="70"/>
      <c r="G684" s="70"/>
      <c r="H684" s="70"/>
      <c r="I684" s="70"/>
      <c r="J684" s="70"/>
    </row>
    <row r="685" spans="1:10" ht="16" x14ac:dyDescent="0.2">
      <c r="A685" s="70"/>
      <c r="B685" s="70"/>
      <c r="C685" s="70"/>
      <c r="D685" s="70"/>
      <c r="E685" s="70"/>
      <c r="F685" s="70"/>
      <c r="G685" s="70"/>
      <c r="H685" s="70"/>
      <c r="I685" s="70"/>
      <c r="J685" s="70"/>
    </row>
    <row r="686" spans="1:10" ht="16" x14ac:dyDescent="0.2">
      <c r="A686" s="70"/>
      <c r="B686" s="70"/>
      <c r="C686" s="70"/>
      <c r="D686" s="70"/>
      <c r="E686" s="70"/>
      <c r="F686" s="70"/>
      <c r="G686" s="70"/>
      <c r="H686" s="70"/>
      <c r="I686" s="70"/>
      <c r="J686" s="70"/>
    </row>
    <row r="687" spans="1:10" ht="16" x14ac:dyDescent="0.2">
      <c r="A687" s="70"/>
      <c r="B687" s="70"/>
      <c r="C687" s="70"/>
      <c r="D687" s="70"/>
      <c r="E687" s="70"/>
      <c r="F687" s="70"/>
      <c r="G687" s="70"/>
      <c r="H687" s="70"/>
      <c r="I687" s="70"/>
      <c r="J687" s="70"/>
    </row>
    <row r="688" spans="1:10" ht="16" x14ac:dyDescent="0.2">
      <c r="A688" s="70"/>
      <c r="B688" s="70"/>
      <c r="C688" s="70"/>
      <c r="D688" s="70"/>
      <c r="E688" s="70"/>
      <c r="F688" s="70"/>
      <c r="G688" s="70"/>
      <c r="H688" s="70"/>
      <c r="I688" s="70"/>
      <c r="J688" s="70"/>
    </row>
    <row r="689" spans="1:10" ht="16" x14ac:dyDescent="0.2">
      <c r="A689" s="70"/>
      <c r="B689" s="70"/>
      <c r="C689" s="70"/>
      <c r="D689" s="70"/>
      <c r="E689" s="70"/>
      <c r="F689" s="70"/>
      <c r="G689" s="70"/>
      <c r="H689" s="70"/>
      <c r="I689" s="70"/>
      <c r="J689" s="70"/>
    </row>
    <row r="690" spans="1:10" ht="16" x14ac:dyDescent="0.2">
      <c r="A690" s="70"/>
      <c r="B690" s="70"/>
      <c r="C690" s="70"/>
      <c r="D690" s="70"/>
      <c r="E690" s="70"/>
      <c r="F690" s="70"/>
      <c r="G690" s="70"/>
      <c r="H690" s="70"/>
      <c r="I690" s="70"/>
      <c r="J690" s="70"/>
    </row>
    <row r="691" spans="1:10" ht="16" x14ac:dyDescent="0.2">
      <c r="A691" s="70"/>
      <c r="B691" s="70"/>
      <c r="C691" s="70"/>
      <c r="D691" s="70"/>
      <c r="E691" s="70"/>
      <c r="F691" s="70"/>
      <c r="G691" s="70"/>
      <c r="H691" s="70"/>
      <c r="I691" s="70"/>
      <c r="J691" s="70"/>
    </row>
    <row r="692" spans="1:10" ht="16" x14ac:dyDescent="0.2">
      <c r="A692" s="70"/>
      <c r="B692" s="70"/>
      <c r="C692" s="70"/>
      <c r="D692" s="70"/>
      <c r="E692" s="70"/>
      <c r="F692" s="70"/>
      <c r="G692" s="70"/>
      <c r="H692" s="70"/>
      <c r="I692" s="70"/>
      <c r="J692" s="70"/>
    </row>
    <row r="693" spans="1:10" ht="16" x14ac:dyDescent="0.2">
      <c r="A693" s="70"/>
      <c r="B693" s="70"/>
      <c r="C693" s="70"/>
      <c r="D693" s="70"/>
      <c r="E693" s="70"/>
      <c r="F693" s="70"/>
      <c r="G693" s="70"/>
      <c r="H693" s="70"/>
      <c r="I693" s="70"/>
      <c r="J693" s="70"/>
    </row>
    <row r="694" spans="1:10" ht="16" x14ac:dyDescent="0.2">
      <c r="A694" s="70"/>
      <c r="B694" s="70"/>
      <c r="C694" s="70"/>
      <c r="D694" s="70"/>
      <c r="E694" s="70"/>
      <c r="F694" s="70"/>
      <c r="G694" s="70"/>
      <c r="H694" s="70"/>
      <c r="I694" s="70"/>
      <c r="J694" s="70"/>
    </row>
    <row r="695" spans="1:10" ht="16" x14ac:dyDescent="0.2">
      <c r="A695" s="70"/>
      <c r="B695" s="70"/>
      <c r="C695" s="70"/>
      <c r="D695" s="70"/>
      <c r="E695" s="70"/>
      <c r="F695" s="70"/>
      <c r="G695" s="70"/>
      <c r="H695" s="70"/>
      <c r="I695" s="70"/>
      <c r="J695" s="70"/>
    </row>
    <row r="696" spans="1:10" ht="16" x14ac:dyDescent="0.2">
      <c r="A696" s="70"/>
      <c r="B696" s="70"/>
      <c r="C696" s="70"/>
      <c r="D696" s="70"/>
      <c r="E696" s="70"/>
      <c r="F696" s="70"/>
      <c r="G696" s="70"/>
      <c r="H696" s="70"/>
      <c r="I696" s="70"/>
      <c r="J696" s="70"/>
    </row>
    <row r="697" spans="1:10" ht="16" x14ac:dyDescent="0.2">
      <c r="A697" s="70"/>
      <c r="B697" s="70"/>
      <c r="C697" s="70"/>
      <c r="D697" s="70"/>
      <c r="E697" s="70"/>
      <c r="F697" s="70"/>
      <c r="G697" s="70"/>
      <c r="H697" s="70"/>
      <c r="I697" s="70"/>
      <c r="J697" s="70"/>
    </row>
    <row r="698" spans="1:10" ht="16" x14ac:dyDescent="0.2">
      <c r="A698" s="70"/>
      <c r="B698" s="70"/>
      <c r="C698" s="70"/>
      <c r="D698" s="70"/>
      <c r="E698" s="70"/>
      <c r="F698" s="70"/>
      <c r="G698" s="70"/>
      <c r="H698" s="70"/>
      <c r="I698" s="70"/>
      <c r="J698" s="70"/>
    </row>
    <row r="699" spans="1:10" ht="16" x14ac:dyDescent="0.2">
      <c r="A699" s="70"/>
      <c r="B699" s="70"/>
      <c r="C699" s="70"/>
      <c r="D699" s="70"/>
      <c r="E699" s="70"/>
      <c r="F699" s="70"/>
      <c r="G699" s="70"/>
      <c r="H699" s="70"/>
      <c r="I699" s="70"/>
      <c r="J699" s="70"/>
    </row>
    <row r="700" spans="1:10" ht="16" x14ac:dyDescent="0.2">
      <c r="A700" s="70"/>
      <c r="B700" s="70"/>
      <c r="C700" s="70"/>
      <c r="D700" s="70"/>
      <c r="E700" s="70"/>
      <c r="F700" s="70"/>
      <c r="G700" s="70"/>
      <c r="H700" s="70"/>
      <c r="I700" s="70"/>
      <c r="J700" s="70"/>
    </row>
    <row r="701" spans="1:10" ht="16" x14ac:dyDescent="0.2">
      <c r="A701" s="70"/>
      <c r="B701" s="70"/>
      <c r="C701" s="70"/>
      <c r="D701" s="70"/>
      <c r="E701" s="70"/>
      <c r="F701" s="70"/>
      <c r="G701" s="70"/>
      <c r="H701" s="70"/>
      <c r="I701" s="70"/>
      <c r="J701" s="70"/>
    </row>
    <row r="702" spans="1:10" ht="16" x14ac:dyDescent="0.2">
      <c r="A702" s="70"/>
      <c r="B702" s="70"/>
      <c r="C702" s="70"/>
      <c r="D702" s="70"/>
      <c r="E702" s="70"/>
      <c r="F702" s="70"/>
      <c r="G702" s="70"/>
      <c r="H702" s="70"/>
      <c r="I702" s="70"/>
      <c r="J702" s="70"/>
    </row>
    <row r="703" spans="1:10" ht="16" x14ac:dyDescent="0.2">
      <c r="A703" s="70"/>
      <c r="B703" s="70"/>
      <c r="C703" s="70"/>
      <c r="D703" s="70"/>
      <c r="E703" s="70"/>
      <c r="F703" s="70"/>
      <c r="G703" s="70"/>
      <c r="H703" s="70"/>
      <c r="I703" s="70"/>
      <c r="J703" s="70"/>
    </row>
    <row r="704" spans="1:10" ht="16" x14ac:dyDescent="0.2">
      <c r="A704" s="70"/>
      <c r="B704" s="70"/>
      <c r="C704" s="70"/>
      <c r="D704" s="70"/>
      <c r="E704" s="70"/>
      <c r="F704" s="70"/>
      <c r="G704" s="70"/>
      <c r="H704" s="70"/>
      <c r="I704" s="70"/>
      <c r="J704" s="70"/>
    </row>
    <row r="705" spans="1:10" ht="16" x14ac:dyDescent="0.2">
      <c r="A705" s="70"/>
      <c r="B705" s="70"/>
      <c r="C705" s="70"/>
      <c r="D705" s="70"/>
      <c r="E705" s="70"/>
      <c r="F705" s="70"/>
      <c r="G705" s="70"/>
      <c r="H705" s="70"/>
      <c r="I705" s="70"/>
      <c r="J705" s="70"/>
    </row>
    <row r="706" spans="1:10" ht="16" x14ac:dyDescent="0.2">
      <c r="A706" s="70"/>
      <c r="B706" s="70"/>
      <c r="C706" s="70"/>
      <c r="D706" s="70"/>
      <c r="E706" s="70"/>
      <c r="F706" s="70"/>
      <c r="G706" s="70"/>
      <c r="H706" s="70"/>
      <c r="I706" s="70"/>
      <c r="J706" s="70"/>
    </row>
    <row r="707" spans="1:10" ht="16" x14ac:dyDescent="0.2">
      <c r="A707" s="70"/>
      <c r="B707" s="70"/>
      <c r="C707" s="70"/>
      <c r="D707" s="70"/>
      <c r="E707" s="70"/>
      <c r="F707" s="70"/>
      <c r="G707" s="70"/>
      <c r="H707" s="70"/>
      <c r="I707" s="70"/>
      <c r="J707" s="70"/>
    </row>
    <row r="708" spans="1:10" ht="16" x14ac:dyDescent="0.2">
      <c r="A708" s="70"/>
      <c r="B708" s="70"/>
      <c r="C708" s="70"/>
      <c r="D708" s="70"/>
      <c r="E708" s="70"/>
      <c r="F708" s="70"/>
      <c r="G708" s="70"/>
      <c r="H708" s="70"/>
      <c r="I708" s="70"/>
      <c r="J708" s="70"/>
    </row>
    <row r="709" spans="1:10" ht="16" x14ac:dyDescent="0.2">
      <c r="A709" s="70"/>
      <c r="B709" s="70"/>
      <c r="C709" s="70"/>
      <c r="D709" s="70"/>
      <c r="E709" s="70"/>
      <c r="F709" s="70"/>
      <c r="G709" s="70"/>
      <c r="H709" s="70"/>
      <c r="I709" s="70"/>
      <c r="J709" s="70"/>
    </row>
    <row r="710" spans="1:10" ht="16" x14ac:dyDescent="0.2">
      <c r="A710" s="70"/>
      <c r="B710" s="70"/>
      <c r="C710" s="70"/>
      <c r="D710" s="70"/>
      <c r="E710" s="70"/>
      <c r="F710" s="70"/>
      <c r="G710" s="70"/>
      <c r="H710" s="70"/>
      <c r="I710" s="70"/>
      <c r="J710" s="70"/>
    </row>
    <row r="711" spans="1:10" ht="16" x14ac:dyDescent="0.2">
      <c r="A711" s="70"/>
      <c r="B711" s="70"/>
      <c r="C711" s="70"/>
      <c r="D711" s="70"/>
      <c r="E711" s="70"/>
      <c r="F711" s="70"/>
      <c r="G711" s="70"/>
      <c r="H711" s="70"/>
      <c r="I711" s="70"/>
      <c r="J711" s="70"/>
    </row>
    <row r="712" spans="1:10" ht="16" x14ac:dyDescent="0.2">
      <c r="A712" s="70"/>
      <c r="B712" s="70"/>
      <c r="C712" s="70"/>
      <c r="D712" s="70"/>
      <c r="E712" s="70"/>
      <c r="F712" s="70"/>
      <c r="G712" s="70"/>
      <c r="H712" s="70"/>
      <c r="I712" s="70"/>
      <c r="J712" s="70"/>
    </row>
    <row r="713" spans="1:10" ht="16" x14ac:dyDescent="0.2">
      <c r="A713" s="70"/>
      <c r="B713" s="70"/>
      <c r="C713" s="70"/>
      <c r="D713" s="70"/>
      <c r="E713" s="70"/>
      <c r="F713" s="70"/>
      <c r="G713" s="70"/>
      <c r="H713" s="70"/>
      <c r="I713" s="70"/>
      <c r="J713" s="70"/>
    </row>
    <row r="714" spans="1:10" ht="16" x14ac:dyDescent="0.2">
      <c r="A714" s="70"/>
      <c r="B714" s="70"/>
      <c r="C714" s="70"/>
      <c r="D714" s="70"/>
      <c r="E714" s="70"/>
      <c r="F714" s="70"/>
      <c r="G714" s="70"/>
      <c r="H714" s="70"/>
      <c r="I714" s="70"/>
      <c r="J714" s="70"/>
    </row>
    <row r="715" spans="1:10" ht="16" x14ac:dyDescent="0.2">
      <c r="A715" s="70"/>
      <c r="B715" s="70"/>
      <c r="C715" s="70"/>
      <c r="D715" s="70"/>
      <c r="E715" s="70"/>
      <c r="F715" s="70"/>
      <c r="G715" s="70"/>
      <c r="H715" s="70"/>
      <c r="I715" s="70"/>
      <c r="J715" s="70"/>
    </row>
    <row r="716" spans="1:10" ht="16" x14ac:dyDescent="0.2">
      <c r="A716" s="70"/>
      <c r="B716" s="70"/>
      <c r="C716" s="70"/>
      <c r="D716" s="70"/>
      <c r="E716" s="70"/>
      <c r="F716" s="70"/>
      <c r="G716" s="70"/>
      <c r="H716" s="70"/>
      <c r="I716" s="70"/>
      <c r="J716" s="70"/>
    </row>
    <row r="717" spans="1:10" ht="16" x14ac:dyDescent="0.2">
      <c r="A717" s="70"/>
      <c r="B717" s="70"/>
      <c r="C717" s="70"/>
      <c r="D717" s="70"/>
      <c r="E717" s="70"/>
      <c r="F717" s="70"/>
      <c r="G717" s="70"/>
      <c r="H717" s="70"/>
      <c r="I717" s="70"/>
      <c r="J717" s="70"/>
    </row>
    <row r="718" spans="1:10" ht="16" x14ac:dyDescent="0.2">
      <c r="A718" s="70"/>
      <c r="B718" s="70"/>
      <c r="C718" s="70"/>
      <c r="D718" s="70"/>
      <c r="E718" s="70"/>
      <c r="F718" s="70"/>
      <c r="G718" s="70"/>
      <c r="H718" s="70"/>
      <c r="I718" s="70"/>
      <c r="J718" s="70"/>
    </row>
    <row r="719" spans="1:10" ht="16" x14ac:dyDescent="0.2">
      <c r="A719" s="70"/>
      <c r="B719" s="70"/>
      <c r="C719" s="70"/>
      <c r="D719" s="70"/>
      <c r="E719" s="70"/>
      <c r="F719" s="70"/>
      <c r="G719" s="70"/>
      <c r="H719" s="70"/>
      <c r="I719" s="70"/>
      <c r="J719" s="70"/>
    </row>
    <row r="720" spans="1:10" ht="16" x14ac:dyDescent="0.2">
      <c r="A720" s="70"/>
      <c r="B720" s="70"/>
      <c r="C720" s="70"/>
      <c r="D720" s="70"/>
      <c r="E720" s="70"/>
      <c r="F720" s="70"/>
      <c r="G720" s="70"/>
      <c r="H720" s="70"/>
      <c r="I720" s="70"/>
      <c r="J720" s="70"/>
    </row>
    <row r="721" spans="1:10" ht="16" x14ac:dyDescent="0.2">
      <c r="A721" s="70"/>
      <c r="B721" s="70"/>
      <c r="C721" s="70"/>
      <c r="D721" s="70"/>
      <c r="E721" s="70"/>
      <c r="F721" s="70"/>
      <c r="G721" s="70"/>
      <c r="H721" s="70"/>
      <c r="I721" s="70"/>
      <c r="J721" s="70"/>
    </row>
    <row r="722" spans="1:10" ht="16" x14ac:dyDescent="0.2">
      <c r="A722" s="70"/>
      <c r="B722" s="70"/>
      <c r="C722" s="70"/>
      <c r="D722" s="70"/>
      <c r="E722" s="70"/>
      <c r="F722" s="70"/>
      <c r="G722" s="70"/>
      <c r="H722" s="70"/>
      <c r="I722" s="70"/>
      <c r="J722" s="70"/>
    </row>
    <row r="723" spans="1:10" ht="16" x14ac:dyDescent="0.2">
      <c r="A723" s="70"/>
      <c r="B723" s="70"/>
      <c r="C723" s="70"/>
      <c r="D723" s="70"/>
      <c r="E723" s="70"/>
      <c r="F723" s="70"/>
      <c r="G723" s="70"/>
      <c r="H723" s="70"/>
      <c r="I723" s="70"/>
      <c r="J723" s="70"/>
    </row>
    <row r="724" spans="1:10" ht="16" x14ac:dyDescent="0.2">
      <c r="A724" s="70"/>
      <c r="B724" s="70"/>
      <c r="C724" s="70"/>
      <c r="D724" s="70"/>
      <c r="E724" s="70"/>
      <c r="F724" s="70"/>
      <c r="G724" s="70"/>
      <c r="H724" s="70"/>
      <c r="I724" s="70"/>
      <c r="J724" s="70"/>
    </row>
    <row r="725" spans="1:10" ht="16" x14ac:dyDescent="0.2">
      <c r="A725" s="70"/>
      <c r="B725" s="70"/>
      <c r="C725" s="70"/>
      <c r="D725" s="70"/>
      <c r="E725" s="70"/>
      <c r="F725" s="70"/>
      <c r="G725" s="70"/>
      <c r="H725" s="70"/>
      <c r="I725" s="70"/>
      <c r="J725" s="70"/>
    </row>
    <row r="726" spans="1:10" ht="16" x14ac:dyDescent="0.2">
      <c r="A726" s="70"/>
      <c r="B726" s="70"/>
      <c r="C726" s="70"/>
      <c r="D726" s="70"/>
      <c r="E726" s="70"/>
      <c r="F726" s="70"/>
      <c r="G726" s="70"/>
      <c r="H726" s="70"/>
      <c r="I726" s="70"/>
      <c r="J726" s="70"/>
    </row>
    <row r="727" spans="1:10" ht="16" x14ac:dyDescent="0.2">
      <c r="A727" s="70"/>
      <c r="B727" s="70"/>
      <c r="C727" s="70"/>
      <c r="D727" s="70"/>
      <c r="E727" s="70"/>
      <c r="F727" s="70"/>
      <c r="G727" s="70"/>
      <c r="H727" s="70"/>
      <c r="I727" s="70"/>
      <c r="J727" s="70"/>
    </row>
    <row r="728" spans="1:10" ht="16" x14ac:dyDescent="0.2">
      <c r="A728" s="70"/>
      <c r="B728" s="70"/>
      <c r="C728" s="70"/>
      <c r="D728" s="70"/>
      <c r="E728" s="70"/>
      <c r="F728" s="70"/>
      <c r="G728" s="70"/>
      <c r="H728" s="70"/>
      <c r="I728" s="70"/>
      <c r="J728" s="70"/>
    </row>
    <row r="729" spans="1:10" ht="16" x14ac:dyDescent="0.2">
      <c r="A729" s="70"/>
      <c r="B729" s="70"/>
      <c r="C729" s="70"/>
      <c r="D729" s="70"/>
      <c r="E729" s="70"/>
      <c r="F729" s="70"/>
      <c r="G729" s="70"/>
      <c r="H729" s="70"/>
      <c r="I729" s="70"/>
      <c r="J729" s="70"/>
    </row>
    <row r="730" spans="1:10" ht="16" x14ac:dyDescent="0.2">
      <c r="A730" s="70"/>
      <c r="B730" s="70"/>
      <c r="C730" s="70"/>
      <c r="D730" s="70"/>
      <c r="E730" s="70"/>
      <c r="F730" s="70"/>
      <c r="G730" s="70"/>
      <c r="H730" s="70"/>
      <c r="I730" s="70"/>
      <c r="J730" s="70"/>
    </row>
    <row r="731" spans="1:10" ht="16" x14ac:dyDescent="0.2">
      <c r="A731" s="70"/>
      <c r="B731" s="70"/>
      <c r="C731" s="70"/>
      <c r="D731" s="70"/>
      <c r="E731" s="70"/>
      <c r="F731" s="70"/>
      <c r="G731" s="70"/>
      <c r="H731" s="70"/>
      <c r="I731" s="70"/>
      <c r="J731" s="70"/>
    </row>
    <row r="732" spans="1:10" ht="16" x14ac:dyDescent="0.2">
      <c r="A732" s="70"/>
      <c r="B732" s="70"/>
      <c r="C732" s="70"/>
      <c r="D732" s="70"/>
      <c r="E732" s="70"/>
      <c r="F732" s="70"/>
      <c r="G732" s="70"/>
      <c r="H732" s="70"/>
      <c r="I732" s="70"/>
      <c r="J732" s="70"/>
    </row>
    <row r="733" spans="1:10" ht="16" x14ac:dyDescent="0.2">
      <c r="A733" s="70"/>
      <c r="B733" s="70"/>
      <c r="C733" s="70"/>
      <c r="D733" s="70"/>
      <c r="E733" s="70"/>
      <c r="F733" s="70"/>
      <c r="G733" s="70"/>
      <c r="H733" s="70"/>
      <c r="I733" s="70"/>
      <c r="J733" s="70"/>
    </row>
    <row r="734" spans="1:10" ht="16" x14ac:dyDescent="0.2">
      <c r="A734" s="70"/>
      <c r="B734" s="70"/>
      <c r="C734" s="70"/>
      <c r="D734" s="70"/>
      <c r="E734" s="70"/>
      <c r="F734" s="70"/>
      <c r="G734" s="70"/>
      <c r="H734" s="70"/>
      <c r="I734" s="70"/>
      <c r="J734" s="70"/>
    </row>
    <row r="735" spans="1:10" ht="16" x14ac:dyDescent="0.2">
      <c r="A735" s="70"/>
      <c r="B735" s="70"/>
      <c r="C735" s="70"/>
      <c r="D735" s="70"/>
      <c r="E735" s="70"/>
      <c r="F735" s="70"/>
      <c r="G735" s="70"/>
      <c r="H735" s="70"/>
      <c r="I735" s="70"/>
      <c r="J735" s="70"/>
    </row>
    <row r="736" spans="1:10" ht="16" x14ac:dyDescent="0.2">
      <c r="A736" s="70"/>
      <c r="B736" s="70"/>
      <c r="C736" s="70"/>
      <c r="D736" s="70"/>
      <c r="E736" s="70"/>
      <c r="F736" s="70"/>
      <c r="G736" s="70"/>
      <c r="H736" s="70"/>
      <c r="I736" s="70"/>
      <c r="J736" s="70"/>
    </row>
    <row r="737" spans="1:10" ht="16" x14ac:dyDescent="0.2">
      <c r="A737" s="70"/>
      <c r="B737" s="70"/>
      <c r="C737" s="70"/>
      <c r="D737" s="70"/>
      <c r="E737" s="70"/>
      <c r="F737" s="70"/>
      <c r="G737" s="70"/>
      <c r="H737" s="70"/>
      <c r="I737" s="70"/>
      <c r="J737" s="70"/>
    </row>
    <row r="738" spans="1:10" ht="16" x14ac:dyDescent="0.2">
      <c r="A738" s="70"/>
      <c r="B738" s="70"/>
      <c r="C738" s="70"/>
      <c r="D738" s="70"/>
      <c r="E738" s="70"/>
      <c r="F738" s="70"/>
      <c r="G738" s="70"/>
      <c r="H738" s="70"/>
      <c r="I738" s="70"/>
      <c r="J738" s="70"/>
    </row>
    <row r="739" spans="1:10" ht="16" x14ac:dyDescent="0.2">
      <c r="A739" s="70"/>
      <c r="B739" s="70"/>
      <c r="C739" s="70"/>
      <c r="D739" s="70"/>
      <c r="E739" s="70"/>
      <c r="F739" s="70"/>
      <c r="G739" s="70"/>
      <c r="H739" s="70"/>
      <c r="I739" s="70"/>
      <c r="J739" s="70"/>
    </row>
    <row r="740" spans="1:10" ht="16" x14ac:dyDescent="0.2">
      <c r="A740" s="70"/>
      <c r="B740" s="70"/>
      <c r="C740" s="70"/>
      <c r="D740" s="70"/>
      <c r="E740" s="70"/>
      <c r="F740" s="70"/>
      <c r="G740" s="70"/>
      <c r="H740" s="70"/>
      <c r="I740" s="70"/>
      <c r="J740" s="70"/>
    </row>
    <row r="741" spans="1:10" ht="16" x14ac:dyDescent="0.2">
      <c r="A741" s="70"/>
      <c r="B741" s="70"/>
      <c r="C741" s="70"/>
      <c r="D741" s="70"/>
      <c r="E741" s="70"/>
      <c r="F741" s="70"/>
      <c r="G741" s="70"/>
      <c r="H741" s="70"/>
      <c r="I741" s="70"/>
      <c r="J741" s="70"/>
    </row>
    <row r="742" spans="1:10" ht="16" x14ac:dyDescent="0.2">
      <c r="A742" s="70"/>
      <c r="B742" s="70"/>
      <c r="C742" s="70"/>
      <c r="D742" s="70"/>
      <c r="E742" s="70"/>
      <c r="F742" s="70"/>
      <c r="G742" s="70"/>
      <c r="H742" s="70"/>
      <c r="I742" s="70"/>
      <c r="J742" s="70"/>
    </row>
    <row r="743" spans="1:10" ht="16" x14ac:dyDescent="0.2">
      <c r="A743" s="70"/>
      <c r="B743" s="70"/>
      <c r="C743" s="70"/>
      <c r="D743" s="70"/>
      <c r="E743" s="70"/>
      <c r="F743" s="70"/>
      <c r="G743" s="70"/>
      <c r="H743" s="70"/>
      <c r="I743" s="70"/>
      <c r="J743" s="70"/>
    </row>
    <row r="744" spans="1:10" ht="16" x14ac:dyDescent="0.2">
      <c r="A744" s="70"/>
      <c r="B744" s="70"/>
      <c r="C744" s="70"/>
      <c r="D744" s="70"/>
      <c r="E744" s="70"/>
      <c r="F744" s="70"/>
      <c r="G744" s="70"/>
      <c r="H744" s="70"/>
      <c r="I744" s="70"/>
      <c r="J744" s="70"/>
    </row>
    <row r="745" spans="1:10" ht="16" x14ac:dyDescent="0.2">
      <c r="A745" s="70"/>
      <c r="B745" s="70"/>
      <c r="C745" s="70"/>
      <c r="D745" s="70"/>
      <c r="E745" s="70"/>
      <c r="F745" s="70"/>
      <c r="G745" s="70"/>
      <c r="H745" s="70"/>
      <c r="I745" s="70"/>
      <c r="J745" s="70"/>
    </row>
    <row r="746" spans="1:10" ht="16" x14ac:dyDescent="0.2">
      <c r="A746" s="70"/>
      <c r="B746" s="70"/>
      <c r="C746" s="70"/>
      <c r="D746" s="70"/>
      <c r="E746" s="70"/>
      <c r="F746" s="70"/>
      <c r="G746" s="70"/>
      <c r="H746" s="70"/>
      <c r="I746" s="70"/>
      <c r="J746" s="70"/>
    </row>
    <row r="747" spans="1:10" ht="16" x14ac:dyDescent="0.2">
      <c r="A747" s="70"/>
      <c r="B747" s="70"/>
      <c r="C747" s="70"/>
      <c r="D747" s="70"/>
      <c r="E747" s="70"/>
      <c r="F747" s="70"/>
      <c r="G747" s="70"/>
      <c r="H747" s="70"/>
      <c r="I747" s="70"/>
      <c r="J747" s="70"/>
    </row>
    <row r="748" spans="1:10" ht="16" x14ac:dyDescent="0.2">
      <c r="A748" s="70"/>
      <c r="B748" s="70"/>
      <c r="C748" s="70"/>
      <c r="D748" s="70"/>
      <c r="E748" s="70"/>
      <c r="F748" s="70"/>
      <c r="G748" s="70"/>
      <c r="H748" s="70"/>
      <c r="I748" s="70"/>
      <c r="J748" s="70"/>
    </row>
    <row r="749" spans="1:10" ht="16" x14ac:dyDescent="0.2">
      <c r="A749" s="70"/>
      <c r="B749" s="70"/>
      <c r="C749" s="70"/>
      <c r="D749" s="70"/>
      <c r="E749" s="70"/>
      <c r="F749" s="70"/>
      <c r="G749" s="70"/>
      <c r="H749" s="70"/>
      <c r="I749" s="70"/>
      <c r="J749" s="70"/>
    </row>
    <row r="750" spans="1:10" ht="16" x14ac:dyDescent="0.2">
      <c r="A750" s="70"/>
      <c r="B750" s="70"/>
      <c r="C750" s="70"/>
      <c r="D750" s="70"/>
      <c r="E750" s="70"/>
      <c r="F750" s="70"/>
      <c r="G750" s="70"/>
      <c r="H750" s="70"/>
      <c r="I750" s="70"/>
      <c r="J750" s="70"/>
    </row>
    <row r="751" spans="1:10" ht="16" x14ac:dyDescent="0.2">
      <c r="A751" s="70"/>
      <c r="B751" s="70"/>
      <c r="C751" s="70"/>
      <c r="D751" s="70"/>
      <c r="E751" s="70"/>
      <c r="F751" s="70"/>
      <c r="G751" s="70"/>
      <c r="H751" s="70"/>
      <c r="I751" s="70"/>
      <c r="J751" s="70"/>
    </row>
    <row r="752" spans="1:10" ht="16" x14ac:dyDescent="0.2">
      <c r="A752" s="70"/>
      <c r="B752" s="70"/>
      <c r="C752" s="70"/>
      <c r="D752" s="70"/>
      <c r="E752" s="70"/>
      <c r="F752" s="70"/>
      <c r="G752" s="70"/>
      <c r="H752" s="70"/>
      <c r="I752" s="70"/>
      <c r="J752" s="70"/>
    </row>
    <row r="753" spans="1:10" ht="16" x14ac:dyDescent="0.2">
      <c r="A753" s="70"/>
      <c r="B753" s="70"/>
      <c r="C753" s="70"/>
      <c r="D753" s="70"/>
      <c r="E753" s="70"/>
      <c r="F753" s="70"/>
      <c r="G753" s="70"/>
      <c r="H753" s="70"/>
      <c r="I753" s="70"/>
      <c r="J753" s="70"/>
    </row>
    <row r="754" spans="1:10" ht="16" x14ac:dyDescent="0.2">
      <c r="A754" s="70"/>
      <c r="B754" s="70"/>
      <c r="C754" s="70"/>
      <c r="D754" s="70"/>
      <c r="E754" s="70"/>
      <c r="F754" s="70"/>
      <c r="G754" s="70"/>
      <c r="H754" s="70"/>
      <c r="I754" s="70"/>
      <c r="J754" s="70"/>
    </row>
    <row r="755" spans="1:10" ht="16" x14ac:dyDescent="0.2">
      <c r="A755" s="70"/>
      <c r="B755" s="70"/>
      <c r="C755" s="70"/>
      <c r="D755" s="70"/>
      <c r="E755" s="70"/>
      <c r="F755" s="70"/>
      <c r="G755" s="70"/>
      <c r="H755" s="70"/>
      <c r="I755" s="70"/>
      <c r="J755" s="70"/>
    </row>
    <row r="756" spans="1:10" ht="16" x14ac:dyDescent="0.2">
      <c r="A756" s="70"/>
      <c r="B756" s="70"/>
      <c r="C756" s="70"/>
      <c r="D756" s="70"/>
      <c r="E756" s="70"/>
      <c r="F756" s="70"/>
      <c r="G756" s="70"/>
      <c r="H756" s="70"/>
      <c r="I756" s="70"/>
      <c r="J756" s="70"/>
    </row>
    <row r="757" spans="1:10" ht="16" x14ac:dyDescent="0.2">
      <c r="A757" s="70"/>
      <c r="B757" s="70"/>
      <c r="C757" s="70"/>
      <c r="D757" s="70"/>
      <c r="E757" s="70"/>
      <c r="F757" s="70"/>
      <c r="G757" s="70"/>
      <c r="H757" s="70"/>
      <c r="I757" s="70"/>
      <c r="J757" s="70"/>
    </row>
    <row r="758" spans="1:10" ht="16" x14ac:dyDescent="0.2">
      <c r="A758" s="70"/>
      <c r="B758" s="70"/>
      <c r="C758" s="70"/>
      <c r="D758" s="70"/>
      <c r="E758" s="70"/>
      <c r="F758" s="70"/>
      <c r="G758" s="70"/>
      <c r="H758" s="70"/>
      <c r="I758" s="70"/>
      <c r="J758" s="70"/>
    </row>
    <row r="759" spans="1:10" ht="16" x14ac:dyDescent="0.2">
      <c r="A759" s="70"/>
      <c r="B759" s="70"/>
      <c r="C759" s="70"/>
      <c r="D759" s="70"/>
      <c r="E759" s="70"/>
      <c r="F759" s="70"/>
      <c r="G759" s="70"/>
      <c r="H759" s="70"/>
      <c r="I759" s="70"/>
      <c r="J759" s="70"/>
    </row>
    <row r="760" spans="1:10" ht="16" x14ac:dyDescent="0.2">
      <c r="A760" s="70"/>
      <c r="B760" s="70"/>
      <c r="C760" s="70"/>
      <c r="D760" s="70"/>
      <c r="E760" s="70"/>
      <c r="F760" s="70"/>
      <c r="G760" s="70"/>
      <c r="H760" s="70"/>
      <c r="I760" s="70"/>
      <c r="J760" s="70"/>
    </row>
    <row r="761" spans="1:10" ht="16" x14ac:dyDescent="0.2">
      <c r="A761" s="70"/>
      <c r="B761" s="70"/>
      <c r="C761" s="70"/>
      <c r="D761" s="70"/>
      <c r="E761" s="70"/>
      <c r="F761" s="70"/>
      <c r="G761" s="70"/>
      <c r="H761" s="70"/>
      <c r="I761" s="70"/>
      <c r="J761" s="70"/>
    </row>
    <row r="762" spans="1:10" ht="16" x14ac:dyDescent="0.2">
      <c r="A762" s="70"/>
      <c r="B762" s="70"/>
      <c r="C762" s="70"/>
      <c r="D762" s="70"/>
      <c r="E762" s="70"/>
      <c r="F762" s="70"/>
      <c r="G762" s="70"/>
      <c r="H762" s="70"/>
      <c r="I762" s="70"/>
      <c r="J762" s="70"/>
    </row>
    <row r="763" spans="1:10" ht="16" x14ac:dyDescent="0.2">
      <c r="A763" s="70"/>
      <c r="B763" s="70"/>
      <c r="C763" s="70"/>
      <c r="D763" s="70"/>
      <c r="E763" s="70"/>
      <c r="F763" s="70"/>
      <c r="G763" s="70"/>
      <c r="H763" s="70"/>
      <c r="I763" s="70"/>
      <c r="J763" s="70"/>
    </row>
    <row r="764" spans="1:10" ht="16" x14ac:dyDescent="0.2">
      <c r="A764" s="70"/>
      <c r="B764" s="70"/>
      <c r="C764" s="70"/>
      <c r="D764" s="70"/>
      <c r="E764" s="70"/>
      <c r="F764" s="70"/>
      <c r="G764" s="70"/>
      <c r="H764" s="70"/>
      <c r="I764" s="70"/>
      <c r="J764" s="70"/>
    </row>
    <row r="765" spans="1:10" ht="16" x14ac:dyDescent="0.2">
      <c r="A765" s="70"/>
      <c r="B765" s="70"/>
      <c r="C765" s="70"/>
      <c r="D765" s="70"/>
      <c r="E765" s="70"/>
      <c r="F765" s="70"/>
      <c r="G765" s="70"/>
      <c r="H765" s="70"/>
      <c r="I765" s="70"/>
      <c r="J765" s="70"/>
    </row>
    <row r="766" spans="1:10" ht="16" x14ac:dyDescent="0.2">
      <c r="A766" s="70"/>
      <c r="B766" s="70"/>
      <c r="C766" s="70"/>
      <c r="D766" s="70"/>
      <c r="E766" s="70"/>
      <c r="F766" s="70"/>
      <c r="G766" s="70"/>
      <c r="H766" s="70"/>
      <c r="I766" s="70"/>
      <c r="J766" s="70"/>
    </row>
    <row r="767" spans="1:10" ht="16" x14ac:dyDescent="0.2">
      <c r="A767" s="70"/>
      <c r="B767" s="70"/>
      <c r="C767" s="70"/>
      <c r="D767" s="70"/>
      <c r="E767" s="70"/>
      <c r="F767" s="70"/>
      <c r="G767" s="70"/>
      <c r="H767" s="70"/>
      <c r="I767" s="70"/>
      <c r="J767" s="70"/>
    </row>
    <row r="768" spans="1:10" ht="16" x14ac:dyDescent="0.2">
      <c r="A768" s="70"/>
      <c r="B768" s="70"/>
      <c r="C768" s="70"/>
      <c r="D768" s="70"/>
      <c r="E768" s="70"/>
      <c r="F768" s="70"/>
      <c r="G768" s="70"/>
      <c r="H768" s="70"/>
      <c r="I768" s="70"/>
      <c r="J768" s="70"/>
    </row>
    <row r="769" spans="1:10" ht="16" x14ac:dyDescent="0.2">
      <c r="A769" s="70"/>
      <c r="B769" s="70"/>
      <c r="C769" s="70"/>
      <c r="D769" s="70"/>
      <c r="E769" s="70"/>
      <c r="F769" s="70"/>
      <c r="G769" s="70"/>
      <c r="H769" s="70"/>
      <c r="I769" s="70"/>
      <c r="J769" s="70"/>
    </row>
    <row r="770" spans="1:10" ht="16" x14ac:dyDescent="0.2">
      <c r="A770" s="70"/>
      <c r="B770" s="70"/>
      <c r="C770" s="70"/>
      <c r="D770" s="70"/>
      <c r="E770" s="70"/>
      <c r="F770" s="70"/>
      <c r="G770" s="70"/>
      <c r="H770" s="70"/>
      <c r="I770" s="70"/>
      <c r="J770" s="70"/>
    </row>
    <row r="771" spans="1:10" ht="16" x14ac:dyDescent="0.2">
      <c r="A771" s="70"/>
      <c r="B771" s="70"/>
      <c r="C771" s="70"/>
      <c r="D771" s="70"/>
      <c r="E771" s="70"/>
      <c r="F771" s="70"/>
      <c r="G771" s="70"/>
      <c r="H771" s="70"/>
      <c r="I771" s="70"/>
      <c r="J771" s="70"/>
    </row>
    <row r="772" spans="1:10" ht="16" x14ac:dyDescent="0.2">
      <c r="A772" s="70"/>
      <c r="B772" s="70"/>
      <c r="C772" s="70"/>
      <c r="D772" s="70"/>
      <c r="E772" s="70"/>
      <c r="F772" s="70"/>
      <c r="G772" s="70"/>
      <c r="H772" s="70"/>
      <c r="I772" s="70"/>
      <c r="J772" s="70"/>
    </row>
    <row r="773" spans="1:10" ht="16" x14ac:dyDescent="0.2">
      <c r="A773" s="70"/>
      <c r="B773" s="70"/>
      <c r="C773" s="70"/>
      <c r="D773" s="70"/>
      <c r="E773" s="70"/>
      <c r="F773" s="70"/>
      <c r="G773" s="70"/>
      <c r="H773" s="70"/>
      <c r="I773" s="70"/>
      <c r="J773" s="70"/>
    </row>
    <row r="774" spans="1:10" ht="16" x14ac:dyDescent="0.2">
      <c r="A774" s="70"/>
      <c r="B774" s="70"/>
      <c r="C774" s="70"/>
      <c r="D774" s="70"/>
      <c r="E774" s="70"/>
      <c r="F774" s="70"/>
      <c r="G774" s="70"/>
      <c r="H774" s="70"/>
      <c r="I774" s="70"/>
      <c r="J774" s="70"/>
    </row>
    <row r="775" spans="1:10" ht="16" x14ac:dyDescent="0.2">
      <c r="A775" s="70"/>
      <c r="B775" s="70"/>
      <c r="C775" s="70"/>
      <c r="D775" s="70"/>
      <c r="E775" s="70"/>
      <c r="F775" s="70"/>
      <c r="G775" s="70"/>
      <c r="H775" s="70"/>
      <c r="I775" s="70"/>
      <c r="J775" s="70"/>
    </row>
    <row r="776" spans="1:10" ht="16" x14ac:dyDescent="0.2">
      <c r="A776" s="70"/>
      <c r="B776" s="70"/>
      <c r="C776" s="70"/>
      <c r="D776" s="70"/>
      <c r="E776" s="70"/>
      <c r="F776" s="70"/>
      <c r="G776" s="70"/>
      <c r="H776" s="70"/>
      <c r="I776" s="70"/>
      <c r="J776" s="70"/>
    </row>
    <row r="777" spans="1:10" ht="16" x14ac:dyDescent="0.2">
      <c r="A777" s="70"/>
      <c r="B777" s="70"/>
      <c r="C777" s="70"/>
      <c r="D777" s="70"/>
      <c r="E777" s="70"/>
      <c r="F777" s="70"/>
      <c r="G777" s="70"/>
      <c r="H777" s="70"/>
      <c r="I777" s="70"/>
      <c r="J777" s="70"/>
    </row>
    <row r="778" spans="1:10" ht="16" x14ac:dyDescent="0.2">
      <c r="A778" s="70"/>
      <c r="B778" s="70"/>
      <c r="C778" s="70"/>
      <c r="D778" s="70"/>
      <c r="E778" s="70"/>
      <c r="F778" s="70"/>
      <c r="G778" s="70"/>
      <c r="H778" s="70"/>
      <c r="I778" s="70"/>
      <c r="J778" s="70"/>
    </row>
    <row r="779" spans="1:10" ht="16" x14ac:dyDescent="0.2">
      <c r="A779" s="70"/>
      <c r="B779" s="70"/>
      <c r="C779" s="70"/>
      <c r="D779" s="70"/>
      <c r="E779" s="70"/>
      <c r="F779" s="70"/>
      <c r="G779" s="70"/>
      <c r="H779" s="70"/>
      <c r="I779" s="70"/>
      <c r="J779" s="70"/>
    </row>
    <row r="780" spans="1:10" ht="16" x14ac:dyDescent="0.2">
      <c r="A780" s="70"/>
      <c r="B780" s="70"/>
      <c r="C780" s="70"/>
      <c r="D780" s="70"/>
      <c r="E780" s="70"/>
      <c r="F780" s="70"/>
      <c r="G780" s="70"/>
      <c r="H780" s="70"/>
      <c r="I780" s="70"/>
      <c r="J780" s="70"/>
    </row>
    <row r="781" spans="1:10" ht="16" x14ac:dyDescent="0.2">
      <c r="A781" s="70"/>
      <c r="B781" s="70"/>
      <c r="C781" s="70"/>
      <c r="D781" s="70"/>
      <c r="E781" s="70"/>
      <c r="F781" s="70"/>
      <c r="G781" s="70"/>
      <c r="H781" s="70"/>
      <c r="I781" s="70"/>
      <c r="J781" s="70"/>
    </row>
    <row r="782" spans="1:10" ht="16" x14ac:dyDescent="0.2">
      <c r="A782" s="70"/>
      <c r="B782" s="70"/>
      <c r="C782" s="70"/>
      <c r="D782" s="70"/>
      <c r="E782" s="70"/>
      <c r="F782" s="70"/>
      <c r="G782" s="70"/>
      <c r="H782" s="70"/>
      <c r="I782" s="70"/>
      <c r="J782" s="70"/>
    </row>
    <row r="783" spans="1:10" ht="16" x14ac:dyDescent="0.2">
      <c r="A783" s="70"/>
      <c r="B783" s="70"/>
      <c r="C783" s="70"/>
      <c r="D783" s="70"/>
      <c r="E783" s="70"/>
      <c r="F783" s="70"/>
      <c r="G783" s="70"/>
      <c r="H783" s="70"/>
      <c r="I783" s="70"/>
      <c r="J783" s="70"/>
    </row>
    <row r="784" spans="1:10" ht="16" x14ac:dyDescent="0.2">
      <c r="A784" s="70"/>
      <c r="B784" s="70"/>
      <c r="C784" s="70"/>
      <c r="D784" s="70"/>
      <c r="E784" s="70"/>
      <c r="F784" s="70"/>
      <c r="G784" s="70"/>
      <c r="H784" s="70"/>
      <c r="I784" s="70"/>
      <c r="J784" s="70"/>
    </row>
    <row r="785" spans="1:10" ht="16" x14ac:dyDescent="0.2">
      <c r="A785" s="70"/>
      <c r="B785" s="70"/>
      <c r="C785" s="70"/>
      <c r="D785" s="70"/>
      <c r="E785" s="70"/>
      <c r="F785" s="70"/>
      <c r="G785" s="70"/>
      <c r="H785" s="70"/>
      <c r="I785" s="70"/>
      <c r="J785" s="70"/>
    </row>
    <row r="786" spans="1:10" ht="16" x14ac:dyDescent="0.2">
      <c r="A786" s="70"/>
      <c r="B786" s="70"/>
      <c r="C786" s="70"/>
      <c r="D786" s="70"/>
      <c r="E786" s="70"/>
      <c r="F786" s="70"/>
      <c r="G786" s="70"/>
      <c r="H786" s="70"/>
      <c r="I786" s="70"/>
      <c r="J786" s="70"/>
    </row>
    <row r="787" spans="1:10" ht="16" x14ac:dyDescent="0.2">
      <c r="A787" s="70"/>
      <c r="B787" s="70"/>
      <c r="C787" s="70"/>
      <c r="D787" s="70"/>
      <c r="E787" s="70"/>
      <c r="F787" s="70"/>
      <c r="G787" s="70"/>
      <c r="H787" s="70"/>
      <c r="I787" s="70"/>
      <c r="J787" s="70"/>
    </row>
    <row r="788" spans="1:10" ht="16" x14ac:dyDescent="0.2">
      <c r="A788" s="70"/>
      <c r="B788" s="70"/>
      <c r="C788" s="70"/>
      <c r="D788" s="70"/>
      <c r="E788" s="70"/>
      <c r="F788" s="70"/>
      <c r="G788" s="70"/>
      <c r="H788" s="70"/>
      <c r="I788" s="70"/>
      <c r="J788" s="70"/>
    </row>
    <row r="789" spans="1:10" ht="16" x14ac:dyDescent="0.2">
      <c r="A789" s="70"/>
      <c r="B789" s="70"/>
      <c r="C789" s="70"/>
      <c r="D789" s="70"/>
      <c r="E789" s="70"/>
      <c r="F789" s="70"/>
      <c r="G789" s="70"/>
      <c r="H789" s="70"/>
      <c r="I789" s="70"/>
      <c r="J789" s="70"/>
    </row>
    <row r="790" spans="1:10" ht="16" x14ac:dyDescent="0.2">
      <c r="A790" s="70"/>
      <c r="B790" s="70"/>
      <c r="C790" s="70"/>
      <c r="D790" s="70"/>
      <c r="E790" s="70"/>
      <c r="F790" s="70"/>
      <c r="G790" s="70"/>
      <c r="H790" s="70"/>
      <c r="I790" s="70"/>
      <c r="J790" s="70"/>
    </row>
    <row r="791" spans="1:10" ht="16" x14ac:dyDescent="0.2">
      <c r="A791" s="70"/>
      <c r="B791" s="70"/>
      <c r="C791" s="70"/>
      <c r="D791" s="70"/>
      <c r="E791" s="70"/>
      <c r="F791" s="70"/>
      <c r="G791" s="70"/>
      <c r="H791" s="70"/>
      <c r="I791" s="70"/>
      <c r="J791" s="70"/>
    </row>
    <row r="792" spans="1:10" ht="16" x14ac:dyDescent="0.2">
      <c r="A792" s="70"/>
      <c r="B792" s="70"/>
      <c r="C792" s="70"/>
      <c r="D792" s="70"/>
      <c r="E792" s="70"/>
      <c r="F792" s="70"/>
      <c r="G792" s="70"/>
      <c r="H792" s="70"/>
      <c r="I792" s="70"/>
      <c r="J792" s="70"/>
    </row>
    <row r="793" spans="1:10" ht="16" x14ac:dyDescent="0.2">
      <c r="A793" s="70"/>
      <c r="B793" s="70"/>
      <c r="C793" s="70"/>
      <c r="D793" s="70"/>
      <c r="E793" s="70"/>
      <c r="F793" s="70"/>
      <c r="G793" s="70"/>
      <c r="H793" s="70"/>
      <c r="I793" s="70"/>
      <c r="J793" s="70"/>
    </row>
    <row r="794" spans="1:10" ht="16" x14ac:dyDescent="0.2">
      <c r="A794" s="70"/>
      <c r="B794" s="70"/>
      <c r="C794" s="70"/>
      <c r="D794" s="70"/>
      <c r="E794" s="70"/>
      <c r="F794" s="70"/>
      <c r="G794" s="70"/>
      <c r="H794" s="70"/>
      <c r="I794" s="70"/>
      <c r="J794" s="70"/>
    </row>
    <row r="795" spans="1:10" ht="16" x14ac:dyDescent="0.2">
      <c r="A795" s="70"/>
      <c r="B795" s="70"/>
      <c r="C795" s="70"/>
      <c r="D795" s="70"/>
      <c r="E795" s="70"/>
      <c r="F795" s="70"/>
      <c r="G795" s="70"/>
      <c r="H795" s="70"/>
      <c r="I795" s="70"/>
      <c r="J795" s="70"/>
    </row>
    <row r="796" spans="1:10" ht="16" x14ac:dyDescent="0.2">
      <c r="A796" s="70"/>
      <c r="B796" s="70"/>
      <c r="C796" s="70"/>
      <c r="D796" s="70"/>
      <c r="E796" s="70"/>
      <c r="F796" s="70"/>
      <c r="G796" s="70"/>
      <c r="H796" s="70"/>
      <c r="I796" s="70"/>
      <c r="J796" s="70"/>
    </row>
    <row r="797" spans="1:10" ht="16" x14ac:dyDescent="0.2">
      <c r="A797" s="70"/>
      <c r="B797" s="70"/>
      <c r="C797" s="70"/>
      <c r="D797" s="70"/>
      <c r="E797" s="70"/>
      <c r="F797" s="70"/>
      <c r="G797" s="70"/>
      <c r="H797" s="70"/>
      <c r="I797" s="70"/>
      <c r="J797" s="70"/>
    </row>
    <row r="798" spans="1:10" ht="16" x14ac:dyDescent="0.2">
      <c r="A798" s="70"/>
      <c r="B798" s="70"/>
      <c r="C798" s="70"/>
      <c r="D798" s="70"/>
      <c r="E798" s="70"/>
      <c r="F798" s="70"/>
      <c r="G798" s="70"/>
      <c r="H798" s="70"/>
      <c r="I798" s="70"/>
      <c r="J798" s="70"/>
    </row>
    <row r="799" spans="1:10" ht="16" x14ac:dyDescent="0.2">
      <c r="A799" s="70"/>
      <c r="B799" s="70"/>
      <c r="C799" s="70"/>
      <c r="D799" s="70"/>
      <c r="E799" s="70"/>
      <c r="F799" s="70"/>
      <c r="G799" s="70"/>
      <c r="H799" s="70"/>
      <c r="I799" s="70"/>
      <c r="J799" s="70"/>
    </row>
    <row r="800" spans="1:10" ht="16" x14ac:dyDescent="0.2">
      <c r="A800" s="70"/>
      <c r="B800" s="70"/>
      <c r="C800" s="70"/>
      <c r="D800" s="70"/>
      <c r="E800" s="70"/>
      <c r="F800" s="70"/>
      <c r="G800" s="70"/>
      <c r="H800" s="70"/>
      <c r="I800" s="70"/>
      <c r="J800" s="70"/>
    </row>
    <row r="801" spans="1:10" ht="16" x14ac:dyDescent="0.2">
      <c r="A801" s="70"/>
      <c r="B801" s="70"/>
      <c r="C801" s="70"/>
      <c r="D801" s="70"/>
      <c r="E801" s="70"/>
      <c r="F801" s="70"/>
      <c r="G801" s="70"/>
      <c r="H801" s="70"/>
      <c r="I801" s="70"/>
      <c r="J801" s="70"/>
    </row>
    <row r="802" spans="1:10" ht="16" x14ac:dyDescent="0.2">
      <c r="A802" s="70"/>
      <c r="B802" s="70"/>
      <c r="C802" s="70"/>
      <c r="D802" s="70"/>
      <c r="E802" s="70"/>
      <c r="F802" s="70"/>
      <c r="G802" s="70"/>
      <c r="H802" s="70"/>
      <c r="I802" s="70"/>
      <c r="J802" s="70"/>
    </row>
    <row r="803" spans="1:10" ht="16" x14ac:dyDescent="0.2">
      <c r="A803" s="70"/>
      <c r="B803" s="70"/>
      <c r="C803" s="70"/>
      <c r="D803" s="70"/>
      <c r="E803" s="70"/>
      <c r="F803" s="70"/>
      <c r="G803" s="70"/>
      <c r="H803" s="70"/>
      <c r="I803" s="70"/>
      <c r="J803" s="70"/>
    </row>
    <row r="804" spans="1:10" ht="16" x14ac:dyDescent="0.2">
      <c r="A804" s="70"/>
      <c r="B804" s="70"/>
      <c r="C804" s="70"/>
      <c r="D804" s="70"/>
      <c r="E804" s="70"/>
      <c r="F804" s="70"/>
      <c r="G804" s="70"/>
      <c r="H804" s="70"/>
      <c r="I804" s="70"/>
      <c r="J804" s="70"/>
    </row>
    <row r="805" spans="1:10" ht="16" x14ac:dyDescent="0.2">
      <c r="A805" s="70"/>
      <c r="B805" s="70"/>
      <c r="C805" s="70"/>
      <c r="D805" s="70"/>
      <c r="E805" s="70"/>
      <c r="F805" s="70"/>
      <c r="G805" s="70"/>
      <c r="H805" s="70"/>
      <c r="I805" s="70"/>
      <c r="J805" s="70"/>
    </row>
    <row r="806" spans="1:10" ht="16" x14ac:dyDescent="0.2">
      <c r="A806" s="70"/>
      <c r="B806" s="70"/>
      <c r="C806" s="70"/>
      <c r="D806" s="70"/>
      <c r="E806" s="70"/>
      <c r="F806" s="70"/>
      <c r="G806" s="70"/>
      <c r="H806" s="70"/>
      <c r="I806" s="70"/>
      <c r="J806" s="70"/>
    </row>
    <row r="807" spans="1:10" ht="16" x14ac:dyDescent="0.2">
      <c r="A807" s="70"/>
      <c r="B807" s="70"/>
      <c r="C807" s="70"/>
      <c r="D807" s="70"/>
      <c r="E807" s="70"/>
      <c r="F807" s="70"/>
      <c r="G807" s="70"/>
      <c r="H807" s="70"/>
      <c r="I807" s="70"/>
      <c r="J807" s="70"/>
    </row>
    <row r="808" spans="1:10" ht="16" x14ac:dyDescent="0.2">
      <c r="A808" s="70"/>
      <c r="B808" s="70"/>
      <c r="C808" s="70"/>
      <c r="D808" s="70"/>
      <c r="E808" s="70"/>
      <c r="F808" s="70"/>
      <c r="G808" s="70"/>
      <c r="H808" s="70"/>
      <c r="I808" s="70"/>
      <c r="J808" s="70"/>
    </row>
    <row r="809" spans="1:10" ht="16" x14ac:dyDescent="0.2">
      <c r="A809" s="70"/>
      <c r="B809" s="70"/>
      <c r="C809" s="70"/>
      <c r="D809" s="70"/>
      <c r="E809" s="70"/>
      <c r="F809" s="70"/>
      <c r="G809" s="70"/>
      <c r="H809" s="70"/>
      <c r="I809" s="70"/>
      <c r="J809" s="70"/>
    </row>
    <row r="810" spans="1:10" ht="16" x14ac:dyDescent="0.2">
      <c r="A810" s="70"/>
      <c r="B810" s="70"/>
      <c r="C810" s="70"/>
      <c r="D810" s="70"/>
      <c r="E810" s="70"/>
      <c r="F810" s="70"/>
      <c r="G810" s="70"/>
      <c r="H810" s="70"/>
      <c r="I810" s="70"/>
      <c r="J810" s="70"/>
    </row>
    <row r="811" spans="1:10" ht="16" x14ac:dyDescent="0.2">
      <c r="A811" s="70"/>
      <c r="B811" s="70"/>
      <c r="C811" s="70"/>
      <c r="D811" s="70"/>
      <c r="E811" s="70"/>
      <c r="F811" s="70"/>
      <c r="G811" s="70"/>
      <c r="H811" s="70"/>
      <c r="I811" s="70"/>
      <c r="J811" s="70"/>
    </row>
    <row r="812" spans="1:10" ht="16" x14ac:dyDescent="0.2">
      <c r="A812" s="70"/>
      <c r="B812" s="70"/>
      <c r="C812" s="70"/>
      <c r="D812" s="70"/>
      <c r="E812" s="70"/>
      <c r="F812" s="70"/>
      <c r="G812" s="70"/>
      <c r="H812" s="70"/>
      <c r="I812" s="70"/>
      <c r="J812" s="70"/>
    </row>
    <row r="813" spans="1:10" ht="16" x14ac:dyDescent="0.2">
      <c r="A813" s="70"/>
      <c r="B813" s="70"/>
      <c r="C813" s="70"/>
      <c r="D813" s="70"/>
      <c r="E813" s="70"/>
      <c r="F813" s="70"/>
      <c r="G813" s="70"/>
      <c r="H813" s="70"/>
      <c r="I813" s="70"/>
      <c r="J813" s="70"/>
    </row>
    <row r="814" spans="1:10" ht="16" x14ac:dyDescent="0.2">
      <c r="A814" s="70"/>
      <c r="B814" s="70"/>
      <c r="C814" s="70"/>
      <c r="D814" s="70"/>
      <c r="E814" s="70"/>
      <c r="F814" s="70"/>
      <c r="G814" s="70"/>
      <c r="H814" s="70"/>
      <c r="I814" s="70"/>
      <c r="J814" s="70"/>
    </row>
    <row r="815" spans="1:10" ht="16" x14ac:dyDescent="0.2">
      <c r="A815" s="70"/>
      <c r="B815" s="70"/>
      <c r="C815" s="70"/>
      <c r="D815" s="70"/>
      <c r="E815" s="70"/>
      <c r="F815" s="70"/>
      <c r="G815" s="70"/>
      <c r="H815" s="70"/>
      <c r="I815" s="70"/>
      <c r="J815" s="70"/>
    </row>
    <row r="816" spans="1:10" ht="16" x14ac:dyDescent="0.2">
      <c r="A816" s="70"/>
      <c r="B816" s="70"/>
      <c r="C816" s="70"/>
      <c r="D816" s="70"/>
      <c r="E816" s="70"/>
      <c r="F816" s="70"/>
      <c r="G816" s="70"/>
      <c r="H816" s="70"/>
      <c r="I816" s="70"/>
      <c r="J816" s="70"/>
    </row>
    <row r="817" spans="1:10" ht="16" x14ac:dyDescent="0.2">
      <c r="A817" s="70"/>
      <c r="B817" s="70"/>
      <c r="C817" s="70"/>
      <c r="D817" s="70"/>
      <c r="E817" s="70"/>
      <c r="F817" s="70"/>
      <c r="G817" s="70"/>
      <c r="H817" s="70"/>
      <c r="I817" s="70"/>
      <c r="J817" s="70"/>
    </row>
    <row r="818" spans="1:10" ht="16" x14ac:dyDescent="0.2">
      <c r="A818" s="70"/>
      <c r="B818" s="70"/>
      <c r="C818" s="70"/>
      <c r="D818" s="70"/>
      <c r="E818" s="70"/>
      <c r="F818" s="70"/>
      <c r="G818" s="70"/>
      <c r="H818" s="70"/>
      <c r="I818" s="70"/>
      <c r="J818" s="70"/>
    </row>
    <row r="819" spans="1:10" ht="16" x14ac:dyDescent="0.2">
      <c r="A819" s="70"/>
      <c r="B819" s="70"/>
      <c r="C819" s="70"/>
      <c r="D819" s="70"/>
      <c r="E819" s="70"/>
      <c r="F819" s="70"/>
      <c r="G819" s="70"/>
      <c r="H819" s="70"/>
      <c r="I819" s="70"/>
      <c r="J819" s="70"/>
    </row>
    <row r="820" spans="1:10" ht="16" x14ac:dyDescent="0.2">
      <c r="A820" s="70"/>
      <c r="B820" s="70"/>
      <c r="C820" s="70"/>
      <c r="D820" s="70"/>
      <c r="E820" s="70"/>
      <c r="F820" s="70"/>
      <c r="G820" s="70"/>
      <c r="H820" s="70"/>
      <c r="I820" s="70"/>
      <c r="J820" s="70"/>
    </row>
    <row r="821" spans="1:10" ht="16" x14ac:dyDescent="0.2">
      <c r="A821" s="70"/>
      <c r="B821" s="70"/>
      <c r="C821" s="70"/>
      <c r="D821" s="70"/>
      <c r="E821" s="70"/>
      <c r="F821" s="70"/>
      <c r="G821" s="70"/>
      <c r="H821" s="70"/>
      <c r="I821" s="70"/>
      <c r="J821" s="70"/>
    </row>
    <row r="822" spans="1:10" ht="16" x14ac:dyDescent="0.2">
      <c r="A822" s="70"/>
      <c r="B822" s="70"/>
      <c r="C822" s="70"/>
      <c r="D822" s="70"/>
      <c r="E822" s="70"/>
      <c r="F822" s="70"/>
      <c r="G822" s="70"/>
      <c r="H822" s="70"/>
      <c r="I822" s="70"/>
      <c r="J822" s="70"/>
    </row>
    <row r="823" spans="1:10" ht="16" x14ac:dyDescent="0.2">
      <c r="A823" s="70"/>
      <c r="B823" s="70"/>
      <c r="C823" s="70"/>
      <c r="D823" s="70"/>
      <c r="E823" s="70"/>
      <c r="F823" s="70"/>
      <c r="G823" s="70"/>
      <c r="H823" s="70"/>
      <c r="I823" s="70"/>
      <c r="J823" s="70"/>
    </row>
    <row r="824" spans="1:10" ht="16" x14ac:dyDescent="0.2">
      <c r="A824" s="70"/>
      <c r="B824" s="70"/>
      <c r="C824" s="70"/>
      <c r="D824" s="70"/>
      <c r="E824" s="70"/>
      <c r="F824" s="70"/>
      <c r="G824" s="70"/>
      <c r="H824" s="70"/>
      <c r="I824" s="70"/>
      <c r="J824" s="70"/>
    </row>
    <row r="825" spans="1:10" ht="16" x14ac:dyDescent="0.2">
      <c r="A825" s="70"/>
      <c r="B825" s="70"/>
      <c r="C825" s="70"/>
      <c r="D825" s="70"/>
      <c r="E825" s="70"/>
      <c r="F825" s="70"/>
      <c r="G825" s="70"/>
      <c r="H825" s="70"/>
      <c r="I825" s="70"/>
      <c r="J825" s="70"/>
    </row>
    <row r="826" spans="1:10" ht="16" x14ac:dyDescent="0.2">
      <c r="A826" s="70"/>
      <c r="B826" s="70"/>
      <c r="C826" s="70"/>
      <c r="D826" s="70"/>
      <c r="E826" s="70"/>
      <c r="F826" s="70"/>
      <c r="G826" s="70"/>
      <c r="H826" s="70"/>
      <c r="I826" s="70"/>
      <c r="J826" s="70"/>
    </row>
    <row r="827" spans="1:10" ht="16" x14ac:dyDescent="0.2">
      <c r="A827" s="70"/>
      <c r="B827" s="70"/>
      <c r="C827" s="70"/>
      <c r="D827" s="70"/>
      <c r="E827" s="70"/>
      <c r="F827" s="70"/>
      <c r="G827" s="70"/>
      <c r="H827" s="70"/>
      <c r="I827" s="70"/>
      <c r="J827" s="70"/>
    </row>
    <row r="828" spans="1:10" ht="16" x14ac:dyDescent="0.2">
      <c r="A828" s="70"/>
      <c r="B828" s="70"/>
      <c r="C828" s="70"/>
      <c r="D828" s="70"/>
      <c r="E828" s="70"/>
      <c r="F828" s="70"/>
      <c r="G828" s="70"/>
      <c r="H828" s="70"/>
      <c r="I828" s="70"/>
      <c r="J828" s="70"/>
    </row>
    <row r="829" spans="1:10" ht="16" x14ac:dyDescent="0.2">
      <c r="A829" s="70"/>
      <c r="B829" s="70"/>
      <c r="C829" s="70"/>
      <c r="D829" s="70"/>
      <c r="E829" s="70"/>
      <c r="F829" s="70"/>
      <c r="G829" s="70"/>
      <c r="H829" s="70"/>
      <c r="I829" s="70"/>
      <c r="J829" s="70"/>
    </row>
    <row r="830" spans="1:10" ht="16" x14ac:dyDescent="0.2">
      <c r="A830" s="70"/>
      <c r="B830" s="70"/>
      <c r="C830" s="70"/>
      <c r="D830" s="70"/>
      <c r="E830" s="70"/>
      <c r="F830" s="70"/>
      <c r="G830" s="70"/>
      <c r="H830" s="70"/>
      <c r="I830" s="70"/>
      <c r="J830" s="70"/>
    </row>
    <row r="831" spans="1:10" ht="16" x14ac:dyDescent="0.2">
      <c r="A831" s="70"/>
      <c r="B831" s="70"/>
      <c r="C831" s="70"/>
      <c r="D831" s="70"/>
      <c r="E831" s="70"/>
      <c r="F831" s="70"/>
      <c r="G831" s="70"/>
      <c r="H831" s="70"/>
      <c r="I831" s="70"/>
      <c r="J831" s="70"/>
    </row>
    <row r="832" spans="1:10" ht="16" x14ac:dyDescent="0.2">
      <c r="A832" s="70"/>
      <c r="B832" s="70"/>
      <c r="C832" s="70"/>
      <c r="D832" s="70"/>
      <c r="E832" s="70"/>
      <c r="F832" s="70"/>
      <c r="G832" s="70"/>
      <c r="H832" s="70"/>
      <c r="I832" s="70"/>
      <c r="J832" s="70"/>
    </row>
    <row r="833" spans="1:10" ht="16" x14ac:dyDescent="0.2">
      <c r="A833" s="70"/>
      <c r="B833" s="70"/>
      <c r="C833" s="70"/>
      <c r="D833" s="70"/>
      <c r="E833" s="70"/>
      <c r="F833" s="70"/>
      <c r="G833" s="70"/>
      <c r="H833" s="70"/>
      <c r="I833" s="70"/>
      <c r="J833" s="70"/>
    </row>
    <row r="834" spans="1:10" ht="16" x14ac:dyDescent="0.2">
      <c r="A834" s="70"/>
      <c r="B834" s="70"/>
      <c r="C834" s="70"/>
      <c r="D834" s="70"/>
      <c r="E834" s="70"/>
      <c r="F834" s="70"/>
      <c r="G834" s="70"/>
      <c r="H834" s="70"/>
      <c r="I834" s="70"/>
      <c r="J834" s="70"/>
    </row>
    <row r="835" spans="1:10" ht="16" x14ac:dyDescent="0.2">
      <c r="A835" s="70"/>
      <c r="B835" s="70"/>
      <c r="C835" s="70"/>
      <c r="D835" s="70"/>
      <c r="E835" s="70"/>
      <c r="F835" s="70"/>
      <c r="G835" s="70"/>
      <c r="H835" s="70"/>
      <c r="I835" s="70"/>
      <c r="J835" s="70"/>
    </row>
    <row r="836" spans="1:10" ht="16" x14ac:dyDescent="0.2">
      <c r="A836" s="70"/>
      <c r="B836" s="70"/>
      <c r="C836" s="70"/>
      <c r="D836" s="70"/>
      <c r="E836" s="70"/>
      <c r="F836" s="70"/>
      <c r="G836" s="70"/>
      <c r="H836" s="70"/>
      <c r="I836" s="70"/>
      <c r="J836" s="70"/>
    </row>
    <row r="837" spans="1:10" ht="16" x14ac:dyDescent="0.2">
      <c r="A837" s="70"/>
      <c r="B837" s="70"/>
      <c r="C837" s="70"/>
      <c r="D837" s="70"/>
      <c r="E837" s="70"/>
      <c r="F837" s="70"/>
      <c r="G837" s="70"/>
      <c r="H837" s="70"/>
      <c r="I837" s="70"/>
      <c r="J837" s="70"/>
    </row>
    <row r="838" spans="1:10" ht="16" x14ac:dyDescent="0.2">
      <c r="A838" s="70"/>
      <c r="B838" s="70"/>
      <c r="C838" s="70"/>
      <c r="D838" s="70"/>
      <c r="E838" s="70"/>
      <c r="F838" s="70"/>
      <c r="G838" s="70"/>
      <c r="H838" s="70"/>
      <c r="I838" s="70"/>
      <c r="J838" s="70"/>
    </row>
    <row r="839" spans="1:10" ht="16" x14ac:dyDescent="0.2">
      <c r="A839" s="70"/>
      <c r="B839" s="70"/>
      <c r="C839" s="70"/>
      <c r="D839" s="70"/>
      <c r="E839" s="70"/>
      <c r="F839" s="70"/>
      <c r="G839" s="70"/>
      <c r="H839" s="70"/>
      <c r="I839" s="70"/>
      <c r="J839" s="70"/>
    </row>
    <row r="840" spans="1:10" ht="16" x14ac:dyDescent="0.2">
      <c r="A840" s="70"/>
      <c r="B840" s="70"/>
      <c r="C840" s="70"/>
      <c r="D840" s="70"/>
      <c r="E840" s="70"/>
      <c r="F840" s="70"/>
      <c r="G840" s="70"/>
      <c r="H840" s="70"/>
      <c r="I840" s="70"/>
      <c r="J840" s="70"/>
    </row>
    <row r="841" spans="1:10" ht="16" x14ac:dyDescent="0.2">
      <c r="A841" s="70"/>
      <c r="B841" s="70"/>
      <c r="C841" s="70"/>
      <c r="D841" s="70"/>
      <c r="E841" s="70"/>
      <c r="F841" s="70"/>
      <c r="G841" s="70"/>
      <c r="H841" s="70"/>
      <c r="I841" s="70"/>
      <c r="J841" s="70"/>
    </row>
    <row r="842" spans="1:10" ht="16" x14ac:dyDescent="0.2">
      <c r="A842" s="70"/>
      <c r="B842" s="70"/>
      <c r="C842" s="70"/>
      <c r="D842" s="70"/>
      <c r="E842" s="70"/>
      <c r="F842" s="70"/>
      <c r="G842" s="70"/>
      <c r="H842" s="70"/>
      <c r="I842" s="70"/>
      <c r="J842" s="70"/>
    </row>
    <row r="843" spans="1:10" ht="16" x14ac:dyDescent="0.2">
      <c r="A843" s="70"/>
      <c r="B843" s="70"/>
      <c r="C843" s="70"/>
      <c r="D843" s="70"/>
      <c r="E843" s="70"/>
      <c r="F843" s="70"/>
      <c r="G843" s="70"/>
      <c r="H843" s="70"/>
      <c r="I843" s="70"/>
      <c r="J843" s="70"/>
    </row>
    <row r="844" spans="1:10" ht="16" x14ac:dyDescent="0.2">
      <c r="A844" s="70"/>
      <c r="B844" s="70"/>
      <c r="C844" s="70"/>
      <c r="D844" s="70"/>
      <c r="E844" s="70"/>
      <c r="F844" s="70"/>
      <c r="G844" s="70"/>
      <c r="H844" s="70"/>
      <c r="I844" s="70"/>
      <c r="J844" s="70"/>
    </row>
    <row r="845" spans="1:10" ht="16" x14ac:dyDescent="0.2">
      <c r="A845" s="70"/>
      <c r="B845" s="70"/>
      <c r="C845" s="70"/>
      <c r="D845" s="70"/>
      <c r="E845" s="70"/>
      <c r="F845" s="70"/>
      <c r="G845" s="70"/>
      <c r="H845" s="70"/>
      <c r="I845" s="70"/>
      <c r="J845" s="70"/>
    </row>
    <row r="846" spans="1:10" ht="16" x14ac:dyDescent="0.2">
      <c r="A846" s="70"/>
      <c r="B846" s="70"/>
      <c r="C846" s="70"/>
      <c r="D846" s="70"/>
      <c r="E846" s="70"/>
      <c r="F846" s="70"/>
      <c r="G846" s="70"/>
      <c r="H846" s="70"/>
      <c r="I846" s="70"/>
      <c r="J846" s="70"/>
    </row>
    <row r="847" spans="1:10" ht="16" x14ac:dyDescent="0.2">
      <c r="A847" s="70"/>
      <c r="B847" s="70"/>
      <c r="C847" s="70"/>
      <c r="D847" s="70"/>
      <c r="E847" s="70"/>
      <c r="F847" s="70"/>
      <c r="G847" s="70"/>
      <c r="H847" s="70"/>
      <c r="I847" s="70"/>
      <c r="J847" s="70"/>
    </row>
    <row r="848" spans="1:10" ht="16" x14ac:dyDescent="0.2">
      <c r="A848" s="70"/>
      <c r="B848" s="70"/>
      <c r="C848" s="70"/>
      <c r="D848" s="70"/>
      <c r="E848" s="70"/>
      <c r="F848" s="70"/>
      <c r="G848" s="70"/>
      <c r="H848" s="70"/>
      <c r="I848" s="70"/>
      <c r="J848" s="70"/>
    </row>
    <row r="849" spans="1:10" ht="16" x14ac:dyDescent="0.2">
      <c r="A849" s="70"/>
      <c r="B849" s="70"/>
      <c r="C849" s="70"/>
      <c r="D849" s="70"/>
      <c r="E849" s="70"/>
      <c r="F849" s="70"/>
      <c r="G849" s="70"/>
      <c r="H849" s="70"/>
      <c r="I849" s="70"/>
      <c r="J849" s="70"/>
    </row>
    <row r="850" spans="1:10" ht="16" x14ac:dyDescent="0.2">
      <c r="A850" s="70"/>
      <c r="B850" s="70"/>
      <c r="C850" s="70"/>
      <c r="D850" s="70"/>
      <c r="E850" s="70"/>
      <c r="F850" s="70"/>
      <c r="G850" s="70"/>
      <c r="H850" s="70"/>
      <c r="I850" s="70"/>
      <c r="J850" s="70"/>
    </row>
    <row r="851" spans="1:10" ht="16" x14ac:dyDescent="0.2">
      <c r="A851" s="70"/>
      <c r="B851" s="70"/>
      <c r="C851" s="70"/>
      <c r="D851" s="70"/>
      <c r="E851" s="70"/>
      <c r="F851" s="70"/>
      <c r="G851" s="70"/>
      <c r="H851" s="70"/>
      <c r="I851" s="70"/>
      <c r="J851" s="70"/>
    </row>
    <row r="852" spans="1:10" ht="16" x14ac:dyDescent="0.2">
      <c r="A852" s="70"/>
      <c r="B852" s="70"/>
      <c r="C852" s="70"/>
      <c r="D852" s="70"/>
      <c r="E852" s="70"/>
      <c r="F852" s="70"/>
      <c r="G852" s="70"/>
      <c r="H852" s="70"/>
      <c r="I852" s="70"/>
      <c r="J852" s="70"/>
    </row>
    <row r="853" spans="1:10" ht="16" x14ac:dyDescent="0.2">
      <c r="A853" s="70"/>
      <c r="B853" s="70"/>
      <c r="C853" s="70"/>
      <c r="D853" s="70"/>
      <c r="E853" s="70"/>
      <c r="F853" s="70"/>
      <c r="G853" s="70"/>
      <c r="H853" s="70"/>
      <c r="I853" s="70"/>
      <c r="J853" s="70"/>
    </row>
    <row r="854" spans="1:10" ht="16" x14ac:dyDescent="0.2">
      <c r="A854" s="70"/>
      <c r="B854" s="70"/>
      <c r="C854" s="70"/>
      <c r="D854" s="70"/>
      <c r="E854" s="70"/>
      <c r="F854" s="70"/>
      <c r="G854" s="70"/>
      <c r="H854" s="70"/>
      <c r="I854" s="70"/>
      <c r="J854" s="70"/>
    </row>
    <row r="855" spans="1:10" ht="16" x14ac:dyDescent="0.2">
      <c r="A855" s="70"/>
      <c r="B855" s="70"/>
      <c r="C855" s="70"/>
      <c r="D855" s="70"/>
      <c r="E855" s="70"/>
      <c r="F855" s="70"/>
      <c r="G855" s="70"/>
      <c r="H855" s="70"/>
      <c r="I855" s="70"/>
      <c r="J855" s="70"/>
    </row>
    <row r="856" spans="1:10" ht="16" x14ac:dyDescent="0.2">
      <c r="A856" s="70"/>
      <c r="B856" s="70"/>
      <c r="C856" s="70"/>
      <c r="D856" s="70"/>
      <c r="E856" s="70"/>
      <c r="F856" s="70"/>
      <c r="G856" s="70"/>
      <c r="H856" s="70"/>
      <c r="I856" s="70"/>
      <c r="J856" s="70"/>
    </row>
    <row r="857" spans="1:10" ht="16" x14ac:dyDescent="0.2">
      <c r="A857" s="70"/>
      <c r="B857" s="70"/>
      <c r="C857" s="70"/>
      <c r="D857" s="70"/>
      <c r="E857" s="70"/>
      <c r="F857" s="70"/>
      <c r="G857" s="70"/>
      <c r="H857" s="70"/>
      <c r="I857" s="70"/>
      <c r="J857" s="70"/>
    </row>
    <row r="858" spans="1:10" ht="16" x14ac:dyDescent="0.2">
      <c r="A858" s="70"/>
      <c r="B858" s="70"/>
      <c r="C858" s="70"/>
      <c r="D858" s="70"/>
      <c r="E858" s="70"/>
      <c r="F858" s="70"/>
      <c r="G858" s="70"/>
      <c r="H858" s="70"/>
      <c r="I858" s="70"/>
      <c r="J858" s="70"/>
    </row>
    <row r="859" spans="1:10" ht="16" x14ac:dyDescent="0.2">
      <c r="A859" s="70"/>
      <c r="B859" s="70"/>
      <c r="C859" s="70"/>
      <c r="D859" s="70"/>
      <c r="E859" s="70"/>
      <c r="F859" s="70"/>
      <c r="G859" s="70"/>
      <c r="H859" s="70"/>
      <c r="I859" s="70"/>
      <c r="J859" s="70"/>
    </row>
    <row r="860" spans="1:10" ht="16" x14ac:dyDescent="0.2">
      <c r="A860" s="70"/>
      <c r="B860" s="70"/>
      <c r="C860" s="70"/>
      <c r="D860" s="70"/>
      <c r="E860" s="70"/>
      <c r="F860" s="70"/>
      <c r="G860" s="70"/>
      <c r="H860" s="70"/>
      <c r="I860" s="70"/>
      <c r="J860" s="70"/>
    </row>
    <row r="861" spans="1:10" ht="16" x14ac:dyDescent="0.2">
      <c r="A861" s="70"/>
      <c r="B861" s="70"/>
      <c r="C861" s="70"/>
      <c r="D861" s="70"/>
      <c r="E861" s="70"/>
      <c r="F861" s="70"/>
      <c r="G861" s="70"/>
      <c r="H861" s="70"/>
      <c r="I861" s="70"/>
      <c r="J861" s="70"/>
    </row>
    <row r="862" spans="1:10" ht="16" x14ac:dyDescent="0.2">
      <c r="A862" s="70"/>
      <c r="B862" s="70"/>
      <c r="C862" s="70"/>
      <c r="D862" s="70"/>
      <c r="E862" s="70"/>
      <c r="F862" s="70"/>
      <c r="G862" s="70"/>
      <c r="H862" s="70"/>
      <c r="I862" s="70"/>
      <c r="J862" s="70"/>
    </row>
    <row r="863" spans="1:10" ht="16" x14ac:dyDescent="0.2">
      <c r="A863" s="70"/>
      <c r="B863" s="70"/>
      <c r="C863" s="70"/>
      <c r="D863" s="70"/>
      <c r="E863" s="70"/>
      <c r="F863" s="70"/>
      <c r="G863" s="70"/>
      <c r="H863" s="70"/>
      <c r="I863" s="70"/>
      <c r="J863" s="70"/>
    </row>
    <row r="864" spans="1:10" ht="16" x14ac:dyDescent="0.2">
      <c r="A864" s="70"/>
      <c r="B864" s="70"/>
      <c r="C864" s="70"/>
      <c r="D864" s="70"/>
      <c r="E864" s="70"/>
      <c r="F864" s="70"/>
      <c r="G864" s="70"/>
      <c r="H864" s="70"/>
      <c r="I864" s="70"/>
      <c r="J864" s="70"/>
    </row>
    <row r="865" spans="1:10" ht="16" x14ac:dyDescent="0.2">
      <c r="A865" s="70"/>
      <c r="B865" s="70"/>
      <c r="C865" s="70"/>
      <c r="D865" s="70"/>
      <c r="E865" s="70"/>
      <c r="F865" s="70"/>
      <c r="G865" s="70"/>
      <c r="H865" s="70"/>
      <c r="I865" s="70"/>
      <c r="J865" s="70"/>
    </row>
    <row r="866" spans="1:10" ht="16" x14ac:dyDescent="0.2">
      <c r="A866" s="70"/>
      <c r="B866" s="70"/>
      <c r="C866" s="70"/>
      <c r="D866" s="70"/>
      <c r="E866" s="70"/>
      <c r="F866" s="70"/>
      <c r="G866" s="70"/>
      <c r="H866" s="70"/>
      <c r="I866" s="70"/>
      <c r="J866" s="70"/>
    </row>
    <row r="867" spans="1:10" ht="16" x14ac:dyDescent="0.2">
      <c r="A867" s="70"/>
      <c r="B867" s="70"/>
      <c r="C867" s="70"/>
      <c r="D867" s="70"/>
      <c r="E867" s="70"/>
      <c r="F867" s="70"/>
      <c r="G867" s="70"/>
      <c r="H867" s="70"/>
      <c r="I867" s="70"/>
      <c r="J867" s="70"/>
    </row>
    <row r="868" spans="1:10" ht="16" x14ac:dyDescent="0.2">
      <c r="A868" s="70"/>
      <c r="B868" s="70"/>
      <c r="C868" s="70"/>
      <c r="D868" s="70"/>
      <c r="E868" s="70"/>
      <c r="F868" s="70"/>
      <c r="G868" s="70"/>
      <c r="H868" s="70"/>
      <c r="I868" s="70"/>
      <c r="J868" s="70"/>
    </row>
    <row r="869" spans="1:10" ht="16" x14ac:dyDescent="0.2">
      <c r="A869" s="70"/>
      <c r="B869" s="70"/>
      <c r="C869" s="70"/>
      <c r="D869" s="70"/>
      <c r="E869" s="70"/>
      <c r="F869" s="70"/>
      <c r="G869" s="70"/>
      <c r="H869" s="70"/>
      <c r="I869" s="70"/>
      <c r="J869" s="70"/>
    </row>
    <row r="870" spans="1:10" ht="16" x14ac:dyDescent="0.2">
      <c r="A870" s="70"/>
      <c r="B870" s="70"/>
      <c r="C870" s="70"/>
      <c r="D870" s="70"/>
      <c r="E870" s="70"/>
      <c r="F870" s="70"/>
      <c r="G870" s="70"/>
      <c r="H870" s="70"/>
      <c r="I870" s="70"/>
      <c r="J870" s="70"/>
    </row>
    <row r="871" spans="1:10" ht="16" x14ac:dyDescent="0.2">
      <c r="A871" s="70"/>
      <c r="B871" s="70"/>
      <c r="C871" s="70"/>
      <c r="D871" s="70"/>
      <c r="E871" s="70"/>
      <c r="F871" s="70"/>
      <c r="G871" s="70"/>
      <c r="H871" s="70"/>
      <c r="I871" s="70"/>
      <c r="J871" s="70"/>
    </row>
    <row r="872" spans="1:10" ht="16" x14ac:dyDescent="0.2">
      <c r="A872" s="70"/>
      <c r="B872" s="70"/>
      <c r="C872" s="70"/>
      <c r="D872" s="70"/>
      <c r="E872" s="70"/>
      <c r="F872" s="70"/>
      <c r="G872" s="70"/>
      <c r="H872" s="70"/>
      <c r="I872" s="70"/>
      <c r="J872" s="70"/>
    </row>
    <row r="873" spans="1:10" ht="16" x14ac:dyDescent="0.2">
      <c r="A873" s="70"/>
      <c r="B873" s="70"/>
      <c r="C873" s="70"/>
      <c r="D873" s="70"/>
      <c r="E873" s="70"/>
      <c r="F873" s="70"/>
      <c r="G873" s="70"/>
      <c r="H873" s="70"/>
      <c r="I873" s="70"/>
      <c r="J873" s="70"/>
    </row>
    <row r="874" spans="1:10" ht="16" x14ac:dyDescent="0.2">
      <c r="A874" s="70"/>
      <c r="B874" s="70"/>
      <c r="C874" s="70"/>
      <c r="D874" s="70"/>
      <c r="E874" s="70"/>
      <c r="F874" s="70"/>
      <c r="G874" s="70"/>
      <c r="H874" s="70"/>
      <c r="I874" s="70"/>
      <c r="J874" s="70"/>
    </row>
    <row r="875" spans="1:10" ht="16" x14ac:dyDescent="0.2">
      <c r="A875" s="70"/>
      <c r="B875" s="70"/>
      <c r="C875" s="70"/>
      <c r="D875" s="70"/>
      <c r="E875" s="70"/>
      <c r="F875" s="70"/>
      <c r="G875" s="70"/>
      <c r="H875" s="70"/>
      <c r="I875" s="70"/>
      <c r="J875" s="70"/>
    </row>
    <row r="876" spans="1:10" ht="16" x14ac:dyDescent="0.2">
      <c r="A876" s="70"/>
      <c r="B876" s="70"/>
      <c r="C876" s="70"/>
      <c r="D876" s="70"/>
      <c r="E876" s="70"/>
      <c r="F876" s="70"/>
      <c r="G876" s="70"/>
      <c r="H876" s="70"/>
      <c r="I876" s="70"/>
      <c r="J876" s="70"/>
    </row>
    <row r="877" spans="1:10" ht="16" x14ac:dyDescent="0.2">
      <c r="A877" s="70"/>
      <c r="B877" s="70"/>
      <c r="C877" s="70"/>
      <c r="D877" s="70"/>
      <c r="E877" s="70"/>
      <c r="F877" s="70"/>
      <c r="G877" s="70"/>
      <c r="H877" s="70"/>
      <c r="I877" s="70"/>
      <c r="J877" s="70"/>
    </row>
    <row r="878" spans="1:10" ht="16" x14ac:dyDescent="0.2">
      <c r="A878" s="70"/>
      <c r="B878" s="70"/>
      <c r="C878" s="70"/>
      <c r="D878" s="70"/>
      <c r="E878" s="70"/>
      <c r="F878" s="70"/>
      <c r="G878" s="70"/>
      <c r="H878" s="70"/>
      <c r="I878" s="70"/>
      <c r="J878" s="70"/>
    </row>
    <row r="879" spans="1:10" ht="16" x14ac:dyDescent="0.2">
      <c r="A879" s="70"/>
      <c r="B879" s="70"/>
      <c r="C879" s="70"/>
      <c r="D879" s="70"/>
      <c r="E879" s="70"/>
      <c r="F879" s="70"/>
      <c r="G879" s="70"/>
      <c r="H879" s="70"/>
      <c r="I879" s="70"/>
      <c r="J879" s="70"/>
    </row>
    <row r="880" spans="1:10" ht="16" x14ac:dyDescent="0.2">
      <c r="A880" s="70"/>
      <c r="B880" s="70"/>
      <c r="C880" s="70"/>
      <c r="D880" s="70"/>
      <c r="E880" s="70"/>
      <c r="F880" s="70"/>
      <c r="G880" s="70"/>
      <c r="H880" s="70"/>
      <c r="I880" s="70"/>
      <c r="J880" s="70"/>
    </row>
    <row r="881" spans="1:10" ht="16" x14ac:dyDescent="0.2">
      <c r="A881" s="70"/>
      <c r="B881" s="70"/>
      <c r="C881" s="70"/>
      <c r="D881" s="70"/>
      <c r="E881" s="70"/>
      <c r="F881" s="70"/>
      <c r="G881" s="70"/>
      <c r="H881" s="70"/>
      <c r="I881" s="70"/>
      <c r="J881" s="70"/>
    </row>
    <row r="882" spans="1:10" ht="16" x14ac:dyDescent="0.2">
      <c r="A882" s="70"/>
      <c r="B882" s="70"/>
      <c r="C882" s="70"/>
      <c r="D882" s="70"/>
      <c r="E882" s="70"/>
      <c r="F882" s="70"/>
      <c r="G882" s="70"/>
      <c r="H882" s="70"/>
      <c r="I882" s="70"/>
      <c r="J882" s="70"/>
    </row>
    <row r="883" spans="1:10" ht="16" x14ac:dyDescent="0.2">
      <c r="A883" s="70"/>
      <c r="B883" s="70"/>
      <c r="C883" s="70"/>
      <c r="D883" s="70"/>
      <c r="E883" s="70"/>
      <c r="F883" s="70"/>
      <c r="G883" s="70"/>
      <c r="H883" s="70"/>
      <c r="I883" s="70"/>
      <c r="J883" s="70"/>
    </row>
    <row r="884" spans="1:10" ht="16" x14ac:dyDescent="0.2">
      <c r="A884" s="70"/>
      <c r="B884" s="70"/>
      <c r="C884" s="70"/>
      <c r="D884" s="70"/>
      <c r="E884" s="70"/>
      <c r="F884" s="70"/>
      <c r="G884" s="70"/>
      <c r="H884" s="70"/>
      <c r="I884" s="70"/>
      <c r="J884" s="70"/>
    </row>
    <row r="885" spans="1:10" ht="16" x14ac:dyDescent="0.2">
      <c r="A885" s="70"/>
      <c r="B885" s="70"/>
      <c r="C885" s="70"/>
      <c r="D885" s="70"/>
      <c r="E885" s="70"/>
      <c r="F885" s="70"/>
      <c r="G885" s="70"/>
      <c r="H885" s="70"/>
      <c r="I885" s="70"/>
      <c r="J885" s="70"/>
    </row>
    <row r="886" spans="1:10" ht="16" x14ac:dyDescent="0.2">
      <c r="A886" s="70"/>
      <c r="B886" s="70"/>
      <c r="C886" s="70"/>
      <c r="D886" s="70"/>
      <c r="E886" s="70"/>
      <c r="F886" s="70"/>
      <c r="G886" s="70"/>
      <c r="H886" s="70"/>
      <c r="I886" s="70"/>
      <c r="J886" s="70"/>
    </row>
    <row r="887" spans="1:10" ht="16" x14ac:dyDescent="0.2">
      <c r="A887" s="70"/>
      <c r="B887" s="70"/>
      <c r="C887" s="70"/>
      <c r="D887" s="70"/>
      <c r="E887" s="70"/>
      <c r="F887" s="70"/>
      <c r="G887" s="70"/>
      <c r="H887" s="70"/>
      <c r="I887" s="70"/>
      <c r="J887" s="70"/>
    </row>
    <row r="888" spans="1:10" ht="16" x14ac:dyDescent="0.2">
      <c r="A888" s="70"/>
      <c r="B888" s="70"/>
      <c r="C888" s="70"/>
      <c r="D888" s="70"/>
      <c r="E888" s="70"/>
      <c r="F888" s="70"/>
      <c r="G888" s="70"/>
      <c r="H888" s="70"/>
      <c r="I888" s="70"/>
      <c r="J888" s="70"/>
    </row>
    <row r="889" spans="1:10" ht="16" x14ac:dyDescent="0.2">
      <c r="A889" s="70"/>
      <c r="B889" s="70"/>
      <c r="C889" s="70"/>
      <c r="D889" s="70"/>
      <c r="E889" s="70"/>
      <c r="F889" s="70"/>
      <c r="G889" s="70"/>
      <c r="H889" s="70"/>
      <c r="I889" s="70"/>
      <c r="J889" s="70"/>
    </row>
    <row r="890" spans="1:10" ht="16" x14ac:dyDescent="0.2">
      <c r="A890" s="70"/>
      <c r="B890" s="70"/>
      <c r="C890" s="70"/>
      <c r="D890" s="70"/>
      <c r="E890" s="70"/>
      <c r="F890" s="70"/>
      <c r="G890" s="70"/>
      <c r="H890" s="70"/>
      <c r="I890" s="70"/>
      <c r="J890" s="70"/>
    </row>
    <row r="891" spans="1:10" ht="16" x14ac:dyDescent="0.2">
      <c r="A891" s="70"/>
      <c r="B891" s="70"/>
      <c r="C891" s="70"/>
      <c r="D891" s="70"/>
      <c r="E891" s="70"/>
      <c r="F891" s="70"/>
      <c r="G891" s="70"/>
      <c r="H891" s="70"/>
      <c r="I891" s="70"/>
      <c r="J891" s="70"/>
    </row>
    <row r="892" spans="1:10" ht="16" x14ac:dyDescent="0.2">
      <c r="A892" s="70"/>
      <c r="B892" s="70"/>
      <c r="C892" s="70"/>
      <c r="D892" s="70"/>
      <c r="E892" s="70"/>
      <c r="F892" s="70"/>
      <c r="G892" s="70"/>
      <c r="H892" s="70"/>
      <c r="I892" s="70"/>
      <c r="J892" s="70"/>
    </row>
    <row r="893" spans="1:10" ht="16" x14ac:dyDescent="0.2">
      <c r="A893" s="70"/>
      <c r="B893" s="70"/>
      <c r="C893" s="70"/>
      <c r="D893" s="70"/>
      <c r="E893" s="70"/>
      <c r="F893" s="70"/>
      <c r="G893" s="70"/>
      <c r="H893" s="70"/>
      <c r="I893" s="70"/>
      <c r="J893" s="70"/>
    </row>
    <row r="894" spans="1:10" ht="16" x14ac:dyDescent="0.2">
      <c r="A894" s="70"/>
      <c r="B894" s="70"/>
      <c r="C894" s="70"/>
      <c r="D894" s="70"/>
      <c r="E894" s="70"/>
      <c r="F894" s="70"/>
      <c r="G894" s="70"/>
      <c r="H894" s="70"/>
      <c r="I894" s="70"/>
      <c r="J894" s="70"/>
    </row>
    <row r="895" spans="1:10" ht="16" x14ac:dyDescent="0.2">
      <c r="A895" s="70"/>
      <c r="B895" s="70"/>
      <c r="C895" s="70"/>
      <c r="D895" s="70"/>
      <c r="E895" s="70"/>
      <c r="F895" s="70"/>
      <c r="G895" s="70"/>
      <c r="H895" s="70"/>
      <c r="I895" s="70"/>
      <c r="J895" s="70"/>
    </row>
    <row r="896" spans="1:10" ht="16" x14ac:dyDescent="0.2">
      <c r="A896" s="70"/>
      <c r="B896" s="70"/>
      <c r="C896" s="70"/>
      <c r="D896" s="70"/>
      <c r="E896" s="70"/>
      <c r="F896" s="70"/>
      <c r="G896" s="70"/>
      <c r="H896" s="70"/>
      <c r="I896" s="70"/>
      <c r="J896" s="70"/>
    </row>
    <row r="897" spans="1:10" ht="16" x14ac:dyDescent="0.2">
      <c r="A897" s="70"/>
      <c r="B897" s="70"/>
      <c r="C897" s="70"/>
      <c r="D897" s="70"/>
      <c r="E897" s="70"/>
      <c r="F897" s="70"/>
      <c r="G897" s="70"/>
      <c r="H897" s="70"/>
      <c r="I897" s="70"/>
      <c r="J897" s="70"/>
    </row>
    <row r="898" spans="1:10" ht="16" x14ac:dyDescent="0.2">
      <c r="A898" s="70"/>
      <c r="B898" s="70"/>
      <c r="C898" s="70"/>
      <c r="D898" s="70"/>
      <c r="E898" s="70"/>
      <c r="F898" s="70"/>
      <c r="G898" s="70"/>
      <c r="H898" s="70"/>
      <c r="I898" s="70"/>
      <c r="J898" s="70"/>
    </row>
    <row r="899" spans="1:10" ht="16" x14ac:dyDescent="0.2">
      <c r="A899" s="70"/>
      <c r="B899" s="70"/>
      <c r="C899" s="70"/>
      <c r="D899" s="70"/>
      <c r="E899" s="70"/>
      <c r="F899" s="70"/>
      <c r="G899" s="70"/>
      <c r="H899" s="70"/>
      <c r="I899" s="70"/>
      <c r="J899" s="70"/>
    </row>
    <row r="900" spans="1:10" ht="16" x14ac:dyDescent="0.2">
      <c r="A900" s="70"/>
      <c r="B900" s="70"/>
      <c r="C900" s="70"/>
      <c r="D900" s="70"/>
      <c r="E900" s="70"/>
      <c r="F900" s="70"/>
      <c r="G900" s="70"/>
      <c r="H900" s="70"/>
      <c r="I900" s="70"/>
      <c r="J900" s="70"/>
    </row>
    <row r="901" spans="1:10" ht="16" x14ac:dyDescent="0.2">
      <c r="A901" s="70"/>
      <c r="B901" s="70"/>
      <c r="C901" s="70"/>
      <c r="D901" s="70"/>
      <c r="E901" s="70"/>
      <c r="F901" s="70"/>
      <c r="G901" s="70"/>
      <c r="H901" s="70"/>
      <c r="I901" s="70"/>
      <c r="J901" s="70"/>
    </row>
    <row r="902" spans="1:10" ht="16" x14ac:dyDescent="0.2">
      <c r="A902" s="70"/>
      <c r="B902" s="70"/>
      <c r="C902" s="70"/>
      <c r="D902" s="70"/>
      <c r="E902" s="70"/>
      <c r="F902" s="70"/>
      <c r="G902" s="70"/>
      <c r="H902" s="70"/>
      <c r="I902" s="70"/>
      <c r="J902" s="70"/>
    </row>
    <row r="903" spans="1:10" ht="16" x14ac:dyDescent="0.2">
      <c r="A903" s="70"/>
      <c r="B903" s="70"/>
      <c r="C903" s="70"/>
      <c r="D903" s="70"/>
      <c r="E903" s="70"/>
      <c r="F903" s="70"/>
      <c r="G903" s="70"/>
      <c r="H903" s="70"/>
      <c r="I903" s="70"/>
      <c r="J903" s="70"/>
    </row>
    <row r="904" spans="1:10" ht="16" x14ac:dyDescent="0.2">
      <c r="A904" s="70"/>
      <c r="B904" s="70"/>
      <c r="C904" s="70"/>
      <c r="D904" s="70"/>
      <c r="E904" s="70"/>
      <c r="F904" s="70"/>
      <c r="G904" s="70"/>
      <c r="H904" s="70"/>
      <c r="I904" s="70"/>
      <c r="J904" s="70"/>
    </row>
    <row r="905" spans="1:10" ht="16" x14ac:dyDescent="0.2">
      <c r="A905" s="70"/>
      <c r="B905" s="70"/>
      <c r="C905" s="70"/>
      <c r="D905" s="70"/>
      <c r="E905" s="70"/>
      <c r="F905" s="70"/>
      <c r="G905" s="70"/>
      <c r="H905" s="70"/>
      <c r="I905" s="70"/>
      <c r="J905" s="70"/>
    </row>
    <row r="906" spans="1:10" ht="16" x14ac:dyDescent="0.2">
      <c r="A906" s="70"/>
      <c r="B906" s="70"/>
      <c r="C906" s="70"/>
      <c r="D906" s="70"/>
      <c r="E906" s="70"/>
      <c r="F906" s="70"/>
      <c r="G906" s="70"/>
      <c r="H906" s="70"/>
      <c r="I906" s="70"/>
      <c r="J906" s="70"/>
    </row>
    <row r="907" spans="1:10" ht="16" x14ac:dyDescent="0.2">
      <c r="A907" s="70"/>
      <c r="B907" s="70"/>
      <c r="C907" s="70"/>
      <c r="D907" s="70"/>
      <c r="E907" s="70"/>
      <c r="F907" s="70"/>
      <c r="G907" s="70"/>
      <c r="H907" s="70"/>
      <c r="I907" s="70"/>
      <c r="J907" s="70"/>
    </row>
    <row r="908" spans="1:10" ht="16" x14ac:dyDescent="0.2">
      <c r="A908" s="70"/>
      <c r="B908" s="70"/>
      <c r="C908" s="70"/>
      <c r="D908" s="70"/>
      <c r="E908" s="70"/>
      <c r="F908" s="70"/>
      <c r="G908" s="70"/>
      <c r="H908" s="70"/>
      <c r="I908" s="70"/>
      <c r="J908" s="70"/>
    </row>
    <row r="909" spans="1:10" ht="16" x14ac:dyDescent="0.2">
      <c r="A909" s="70"/>
      <c r="B909" s="70"/>
      <c r="C909" s="70"/>
      <c r="D909" s="70"/>
      <c r="E909" s="70"/>
      <c r="F909" s="70"/>
      <c r="G909" s="70"/>
      <c r="H909" s="70"/>
      <c r="I909" s="70"/>
      <c r="J909" s="70"/>
    </row>
    <row r="910" spans="1:10" ht="16" x14ac:dyDescent="0.2">
      <c r="A910" s="70"/>
      <c r="B910" s="70"/>
      <c r="C910" s="70"/>
      <c r="D910" s="70"/>
      <c r="E910" s="70"/>
      <c r="F910" s="70"/>
      <c r="G910" s="70"/>
      <c r="H910" s="70"/>
      <c r="I910" s="70"/>
      <c r="J910" s="70"/>
    </row>
    <row r="911" spans="1:10" ht="16" x14ac:dyDescent="0.2">
      <c r="A911" s="70"/>
      <c r="B911" s="70"/>
      <c r="C911" s="70"/>
      <c r="D911" s="70"/>
      <c r="E911" s="70"/>
      <c r="F911" s="70"/>
      <c r="G911" s="70"/>
      <c r="H911" s="70"/>
      <c r="I911" s="70"/>
      <c r="J911" s="70"/>
    </row>
    <row r="912" spans="1:10" ht="16" x14ac:dyDescent="0.2">
      <c r="A912" s="70"/>
      <c r="B912" s="70"/>
      <c r="C912" s="70"/>
      <c r="D912" s="70"/>
      <c r="E912" s="70"/>
      <c r="F912" s="70"/>
      <c r="G912" s="70"/>
      <c r="H912" s="70"/>
      <c r="I912" s="70"/>
      <c r="J912" s="70"/>
    </row>
    <row r="913" spans="1:10" ht="16" x14ac:dyDescent="0.2">
      <c r="A913" s="70"/>
      <c r="B913" s="70"/>
      <c r="C913" s="70"/>
      <c r="D913" s="70"/>
      <c r="E913" s="70"/>
      <c r="F913" s="70"/>
      <c r="G913" s="70"/>
      <c r="H913" s="70"/>
      <c r="I913" s="70"/>
      <c r="J913" s="70"/>
    </row>
    <row r="914" spans="1:10" ht="16" x14ac:dyDescent="0.2">
      <c r="A914" s="70"/>
      <c r="B914" s="70"/>
      <c r="C914" s="70"/>
      <c r="D914" s="70"/>
      <c r="E914" s="70"/>
      <c r="F914" s="70"/>
      <c r="G914" s="70"/>
      <c r="H914" s="70"/>
      <c r="I914" s="70"/>
      <c r="J914" s="70"/>
    </row>
    <row r="915" spans="1:10" ht="16" x14ac:dyDescent="0.2">
      <c r="A915" s="70"/>
      <c r="B915" s="70"/>
      <c r="C915" s="70"/>
      <c r="D915" s="70"/>
      <c r="E915" s="70"/>
      <c r="F915" s="70"/>
      <c r="G915" s="70"/>
      <c r="H915" s="70"/>
      <c r="I915" s="70"/>
      <c r="J915" s="70"/>
    </row>
    <row r="916" spans="1:10" ht="16" x14ac:dyDescent="0.2">
      <c r="A916" s="70"/>
      <c r="B916" s="70"/>
      <c r="C916" s="70"/>
      <c r="D916" s="70"/>
      <c r="E916" s="70"/>
      <c r="F916" s="70"/>
      <c r="G916" s="70"/>
      <c r="H916" s="70"/>
      <c r="I916" s="70"/>
      <c r="J916" s="70"/>
    </row>
    <row r="917" spans="1:10" ht="16" x14ac:dyDescent="0.2">
      <c r="A917" s="70"/>
      <c r="B917" s="70"/>
      <c r="C917" s="70"/>
      <c r="D917" s="70"/>
      <c r="E917" s="70"/>
      <c r="F917" s="70"/>
      <c r="G917" s="70"/>
      <c r="H917" s="70"/>
      <c r="I917" s="70"/>
      <c r="J917" s="70"/>
    </row>
    <row r="918" spans="1:10" ht="16" x14ac:dyDescent="0.2">
      <c r="A918" s="70"/>
      <c r="B918" s="70"/>
      <c r="C918" s="70"/>
      <c r="D918" s="70"/>
      <c r="E918" s="70"/>
      <c r="F918" s="70"/>
      <c r="G918" s="70"/>
      <c r="H918" s="70"/>
      <c r="I918" s="70"/>
      <c r="J918" s="70"/>
    </row>
    <row r="919" spans="1:10" ht="16" x14ac:dyDescent="0.2">
      <c r="A919" s="70"/>
      <c r="B919" s="70"/>
      <c r="C919" s="70"/>
      <c r="D919" s="70"/>
      <c r="E919" s="70"/>
      <c r="F919" s="70"/>
      <c r="G919" s="70"/>
      <c r="H919" s="70"/>
      <c r="I919" s="70"/>
      <c r="J919" s="70"/>
    </row>
    <row r="920" spans="1:10" ht="16" x14ac:dyDescent="0.2">
      <c r="A920" s="70"/>
      <c r="B920" s="70"/>
      <c r="C920" s="70"/>
      <c r="D920" s="70"/>
      <c r="E920" s="70"/>
      <c r="F920" s="70"/>
      <c r="G920" s="70"/>
      <c r="H920" s="70"/>
      <c r="I920" s="70"/>
      <c r="J920" s="70"/>
    </row>
    <row r="921" spans="1:10" ht="16" x14ac:dyDescent="0.2">
      <c r="A921" s="70"/>
      <c r="B921" s="70"/>
      <c r="C921" s="70"/>
      <c r="D921" s="70"/>
      <c r="E921" s="70"/>
      <c r="F921" s="70"/>
      <c r="G921" s="70"/>
      <c r="H921" s="70"/>
      <c r="I921" s="70"/>
      <c r="J921" s="70"/>
    </row>
    <row r="922" spans="1:10" ht="16" x14ac:dyDescent="0.2">
      <c r="A922" s="70"/>
      <c r="B922" s="70"/>
      <c r="C922" s="70"/>
      <c r="D922" s="70"/>
      <c r="E922" s="70"/>
      <c r="F922" s="70"/>
      <c r="G922" s="70"/>
      <c r="H922" s="70"/>
      <c r="I922" s="70"/>
      <c r="J922" s="70"/>
    </row>
    <row r="923" spans="1:10" ht="16" x14ac:dyDescent="0.2">
      <c r="A923" s="70"/>
      <c r="B923" s="70"/>
      <c r="C923" s="70"/>
      <c r="D923" s="70"/>
      <c r="E923" s="70"/>
      <c r="F923" s="70"/>
      <c r="G923" s="70"/>
      <c r="H923" s="70"/>
      <c r="I923" s="70"/>
      <c r="J923" s="70"/>
    </row>
    <row r="924" spans="1:10" ht="16" x14ac:dyDescent="0.2">
      <c r="A924" s="70"/>
      <c r="B924" s="70"/>
      <c r="C924" s="70"/>
      <c r="D924" s="70"/>
      <c r="E924" s="70"/>
      <c r="F924" s="70"/>
      <c r="G924" s="70"/>
      <c r="H924" s="70"/>
      <c r="I924" s="70"/>
      <c r="J924" s="70"/>
    </row>
    <row r="925" spans="1:10" ht="16" x14ac:dyDescent="0.2">
      <c r="A925" s="70"/>
      <c r="B925" s="70"/>
      <c r="C925" s="70"/>
      <c r="D925" s="70"/>
      <c r="E925" s="70"/>
      <c r="F925" s="70"/>
      <c r="G925" s="70"/>
      <c r="H925" s="70"/>
      <c r="I925" s="70"/>
      <c r="J925" s="70"/>
    </row>
    <row r="926" spans="1:10" ht="16" x14ac:dyDescent="0.2">
      <c r="A926" s="70"/>
      <c r="B926" s="70"/>
      <c r="C926" s="70"/>
      <c r="D926" s="70"/>
      <c r="E926" s="70"/>
      <c r="F926" s="70"/>
      <c r="G926" s="70"/>
      <c r="H926" s="70"/>
      <c r="I926" s="70"/>
      <c r="J926" s="70"/>
    </row>
    <row r="927" spans="1:10" ht="16" x14ac:dyDescent="0.2">
      <c r="A927" s="70"/>
      <c r="B927" s="70"/>
      <c r="C927" s="70"/>
      <c r="D927" s="70"/>
      <c r="E927" s="70"/>
      <c r="F927" s="70"/>
      <c r="G927" s="70"/>
      <c r="H927" s="70"/>
      <c r="I927" s="70"/>
      <c r="J927" s="70"/>
    </row>
    <row r="928" spans="1:10" ht="16" x14ac:dyDescent="0.2">
      <c r="A928" s="70"/>
      <c r="B928" s="70"/>
      <c r="C928" s="70"/>
      <c r="D928" s="70"/>
      <c r="E928" s="70"/>
      <c r="F928" s="70"/>
      <c r="G928" s="70"/>
      <c r="H928" s="70"/>
      <c r="I928" s="70"/>
      <c r="J928" s="70"/>
    </row>
    <row r="929" spans="1:10" ht="16" x14ac:dyDescent="0.2">
      <c r="A929" s="70"/>
      <c r="B929" s="70"/>
      <c r="C929" s="70"/>
      <c r="D929" s="70"/>
      <c r="E929" s="70"/>
      <c r="F929" s="70"/>
      <c r="G929" s="70"/>
      <c r="H929" s="70"/>
      <c r="I929" s="70"/>
      <c r="J929" s="70"/>
    </row>
    <row r="930" spans="1:10" ht="16" x14ac:dyDescent="0.2">
      <c r="A930" s="70"/>
      <c r="B930" s="70"/>
      <c r="C930" s="70"/>
      <c r="D930" s="70"/>
      <c r="E930" s="70"/>
      <c r="F930" s="70"/>
      <c r="G930" s="70"/>
      <c r="H930" s="70"/>
      <c r="I930" s="70"/>
      <c r="J930" s="70"/>
    </row>
    <row r="931" spans="1:10" ht="16" x14ac:dyDescent="0.2">
      <c r="A931" s="70"/>
      <c r="B931" s="70"/>
      <c r="C931" s="70"/>
      <c r="D931" s="70"/>
      <c r="E931" s="70"/>
      <c r="F931" s="70"/>
      <c r="G931" s="70"/>
      <c r="H931" s="70"/>
      <c r="I931" s="70"/>
      <c r="J931" s="70"/>
    </row>
    <row r="932" spans="1:10" ht="16" x14ac:dyDescent="0.2">
      <c r="A932" s="70"/>
      <c r="B932" s="70"/>
      <c r="C932" s="70"/>
      <c r="D932" s="70"/>
      <c r="E932" s="70"/>
      <c r="F932" s="70"/>
      <c r="G932" s="70"/>
      <c r="H932" s="70"/>
      <c r="I932" s="70"/>
      <c r="J932" s="70"/>
    </row>
    <row r="933" spans="1:10" ht="16" x14ac:dyDescent="0.2">
      <c r="A933" s="70"/>
      <c r="B933" s="70"/>
      <c r="C933" s="70"/>
      <c r="D933" s="70"/>
      <c r="E933" s="70"/>
      <c r="F933" s="70"/>
      <c r="G933" s="70"/>
      <c r="H933" s="70"/>
      <c r="I933" s="70"/>
      <c r="J933" s="70"/>
    </row>
    <row r="934" spans="1:10" ht="16" x14ac:dyDescent="0.2">
      <c r="A934" s="70"/>
      <c r="B934" s="70"/>
      <c r="C934" s="70"/>
      <c r="D934" s="70"/>
      <c r="E934" s="70"/>
      <c r="F934" s="70"/>
      <c r="G934" s="70"/>
      <c r="H934" s="70"/>
      <c r="I934" s="70"/>
      <c r="J934" s="70"/>
    </row>
    <row r="935" spans="1:10" ht="16" x14ac:dyDescent="0.2">
      <c r="A935" s="70"/>
      <c r="B935" s="70"/>
      <c r="C935" s="70"/>
      <c r="D935" s="70"/>
      <c r="E935" s="70"/>
      <c r="F935" s="70"/>
      <c r="G935" s="70"/>
      <c r="H935" s="70"/>
      <c r="I935" s="70"/>
      <c r="J935" s="70"/>
    </row>
    <row r="936" spans="1:10" ht="16" x14ac:dyDescent="0.2">
      <c r="A936" s="70"/>
      <c r="B936" s="70"/>
      <c r="C936" s="70"/>
      <c r="D936" s="70"/>
      <c r="E936" s="70"/>
      <c r="F936" s="70"/>
      <c r="G936" s="70"/>
      <c r="H936" s="70"/>
      <c r="I936" s="70"/>
      <c r="J936" s="70"/>
    </row>
    <row r="937" spans="1:10" ht="16" x14ac:dyDescent="0.2">
      <c r="A937" s="70"/>
      <c r="B937" s="70"/>
      <c r="C937" s="70"/>
      <c r="D937" s="70"/>
      <c r="E937" s="70"/>
      <c r="F937" s="70"/>
      <c r="G937" s="70"/>
      <c r="H937" s="70"/>
      <c r="I937" s="70"/>
      <c r="J937" s="70"/>
    </row>
    <row r="938" spans="1:10" ht="16" x14ac:dyDescent="0.2">
      <c r="A938" s="70"/>
      <c r="B938" s="70"/>
      <c r="C938" s="70"/>
      <c r="D938" s="70"/>
      <c r="E938" s="70"/>
      <c r="F938" s="70"/>
      <c r="G938" s="70"/>
      <c r="H938" s="70"/>
      <c r="I938" s="70"/>
      <c r="J938" s="70"/>
    </row>
    <row r="939" spans="1:10" ht="16" x14ac:dyDescent="0.2">
      <c r="A939" s="70"/>
      <c r="B939" s="70"/>
      <c r="C939" s="70"/>
      <c r="D939" s="70"/>
      <c r="E939" s="70"/>
      <c r="F939" s="70"/>
      <c r="G939" s="70"/>
      <c r="H939" s="70"/>
      <c r="I939" s="70"/>
      <c r="J939" s="70"/>
    </row>
    <row r="940" spans="1:10" ht="16" x14ac:dyDescent="0.2">
      <c r="A940" s="70"/>
      <c r="B940" s="70"/>
      <c r="C940" s="70"/>
      <c r="D940" s="70"/>
      <c r="E940" s="70"/>
      <c r="F940" s="70"/>
      <c r="G940" s="70"/>
      <c r="H940" s="70"/>
      <c r="I940" s="70"/>
      <c r="J940" s="70"/>
    </row>
    <row r="941" spans="1:10" ht="16" x14ac:dyDescent="0.2">
      <c r="A941" s="70"/>
      <c r="B941" s="70"/>
      <c r="C941" s="70"/>
      <c r="D941" s="70"/>
      <c r="E941" s="70"/>
      <c r="F941" s="70"/>
      <c r="G941" s="70"/>
      <c r="H941" s="70"/>
      <c r="I941" s="70"/>
      <c r="J941" s="70"/>
    </row>
    <row r="942" spans="1:10" ht="16" x14ac:dyDescent="0.2">
      <c r="A942" s="70"/>
      <c r="B942" s="70"/>
      <c r="C942" s="70"/>
      <c r="D942" s="70"/>
      <c r="E942" s="70"/>
      <c r="F942" s="70"/>
      <c r="G942" s="70"/>
      <c r="H942" s="70"/>
      <c r="I942" s="70"/>
      <c r="J942" s="70"/>
    </row>
    <row r="943" spans="1:10" ht="16" x14ac:dyDescent="0.2">
      <c r="A943" s="70"/>
      <c r="B943" s="70"/>
      <c r="C943" s="70"/>
      <c r="D943" s="70"/>
      <c r="E943" s="70"/>
      <c r="F943" s="70"/>
      <c r="G943" s="70"/>
      <c r="H943" s="70"/>
      <c r="I943" s="70"/>
      <c r="J943" s="70"/>
    </row>
    <row r="944" spans="1:10" ht="16" x14ac:dyDescent="0.2">
      <c r="A944" s="70"/>
      <c r="B944" s="70"/>
      <c r="C944" s="70"/>
      <c r="D944" s="70"/>
      <c r="E944" s="70"/>
      <c r="F944" s="70"/>
      <c r="G944" s="70"/>
      <c r="H944" s="70"/>
      <c r="I944" s="70"/>
      <c r="J944" s="70"/>
    </row>
    <row r="945" spans="1:10" ht="16" x14ac:dyDescent="0.2">
      <c r="A945" s="70"/>
      <c r="B945" s="70"/>
      <c r="C945" s="70"/>
      <c r="D945" s="70"/>
      <c r="E945" s="70"/>
      <c r="F945" s="70"/>
      <c r="G945" s="70"/>
      <c r="H945" s="70"/>
      <c r="I945" s="70"/>
      <c r="J945" s="70"/>
    </row>
    <row r="946" spans="1:10" ht="16" x14ac:dyDescent="0.2">
      <c r="A946" s="70"/>
      <c r="B946" s="70"/>
      <c r="C946" s="70"/>
      <c r="D946" s="70"/>
      <c r="E946" s="70"/>
      <c r="F946" s="70"/>
      <c r="G946" s="70"/>
      <c r="H946" s="70"/>
      <c r="I946" s="70"/>
      <c r="J946" s="70"/>
    </row>
    <row r="947" spans="1:10" ht="16" x14ac:dyDescent="0.2">
      <c r="A947" s="70"/>
      <c r="B947" s="70"/>
      <c r="C947" s="70"/>
      <c r="D947" s="70"/>
      <c r="E947" s="70"/>
      <c r="F947" s="70"/>
      <c r="G947" s="70"/>
      <c r="H947" s="70"/>
      <c r="I947" s="70"/>
      <c r="J947" s="70"/>
    </row>
    <row r="948" spans="1:10" ht="16" x14ac:dyDescent="0.2">
      <c r="A948" s="70"/>
      <c r="B948" s="70"/>
      <c r="C948" s="70"/>
      <c r="D948" s="70"/>
      <c r="E948" s="70"/>
      <c r="F948" s="70"/>
      <c r="G948" s="70"/>
      <c r="H948" s="70"/>
      <c r="I948" s="70"/>
      <c r="J948" s="70"/>
    </row>
    <row r="949" spans="1:10" ht="16" x14ac:dyDescent="0.2">
      <c r="A949" s="70"/>
      <c r="B949" s="70"/>
      <c r="C949" s="70"/>
      <c r="D949" s="70"/>
      <c r="E949" s="70"/>
      <c r="F949" s="70"/>
      <c r="G949" s="70"/>
      <c r="H949" s="70"/>
      <c r="I949" s="70"/>
      <c r="J949" s="70"/>
    </row>
    <row r="950" spans="1:10" ht="16" x14ac:dyDescent="0.2">
      <c r="A950" s="70"/>
      <c r="B950" s="70"/>
      <c r="C950" s="70"/>
      <c r="D950" s="70"/>
      <c r="E950" s="70"/>
      <c r="F950" s="70"/>
      <c r="G950" s="70"/>
      <c r="H950" s="70"/>
      <c r="I950" s="70"/>
      <c r="J950" s="70"/>
    </row>
    <row r="951" spans="1:10" ht="16" x14ac:dyDescent="0.2">
      <c r="A951" s="70"/>
      <c r="B951" s="70"/>
      <c r="C951" s="70"/>
      <c r="D951" s="70"/>
      <c r="E951" s="70"/>
      <c r="F951" s="70"/>
      <c r="G951" s="70"/>
      <c r="H951" s="70"/>
      <c r="I951" s="70"/>
      <c r="J951" s="70"/>
    </row>
    <row r="952" spans="1:10" ht="16" x14ac:dyDescent="0.2">
      <c r="A952" s="70"/>
      <c r="B952" s="70"/>
      <c r="C952" s="70"/>
      <c r="D952" s="70"/>
      <c r="E952" s="70"/>
      <c r="F952" s="70"/>
      <c r="G952" s="70"/>
      <c r="H952" s="70"/>
      <c r="I952" s="70"/>
      <c r="J952" s="70"/>
    </row>
    <row r="953" spans="1:10" ht="16" x14ac:dyDescent="0.2">
      <c r="A953" s="70"/>
      <c r="B953" s="70"/>
      <c r="C953" s="70"/>
      <c r="D953" s="70"/>
      <c r="E953" s="70"/>
      <c r="F953" s="70"/>
      <c r="G953" s="70"/>
      <c r="H953" s="70"/>
      <c r="I953" s="70"/>
      <c r="J953" s="70"/>
    </row>
    <row r="954" spans="1:10" ht="16" x14ac:dyDescent="0.2">
      <c r="A954" s="70"/>
      <c r="B954" s="70"/>
      <c r="C954" s="70"/>
      <c r="D954" s="70"/>
      <c r="E954" s="70"/>
      <c r="F954" s="70"/>
      <c r="G954" s="70"/>
      <c r="H954" s="70"/>
      <c r="I954" s="70"/>
      <c r="J954" s="70"/>
    </row>
    <row r="955" spans="1:10" ht="16" x14ac:dyDescent="0.2">
      <c r="A955" s="70"/>
      <c r="B955" s="70"/>
      <c r="C955" s="70"/>
      <c r="D955" s="70"/>
      <c r="E955" s="70"/>
      <c r="F955" s="70"/>
      <c r="G955" s="70"/>
      <c r="H955" s="70"/>
      <c r="I955" s="70"/>
      <c r="J955" s="70"/>
    </row>
    <row r="956" spans="1:10" ht="16" x14ac:dyDescent="0.2">
      <c r="A956" s="70"/>
      <c r="B956" s="70"/>
      <c r="C956" s="70"/>
      <c r="D956" s="70"/>
      <c r="E956" s="70"/>
      <c r="F956" s="70"/>
      <c r="G956" s="70"/>
      <c r="H956" s="70"/>
      <c r="I956" s="70"/>
      <c r="J956" s="70"/>
    </row>
    <row r="957" spans="1:10" ht="16" x14ac:dyDescent="0.2">
      <c r="A957" s="70"/>
      <c r="B957" s="70"/>
      <c r="C957" s="70"/>
      <c r="D957" s="70"/>
      <c r="E957" s="70"/>
      <c r="F957" s="70"/>
      <c r="G957" s="70"/>
      <c r="H957" s="70"/>
      <c r="I957" s="70"/>
      <c r="J957" s="70"/>
    </row>
    <row r="958" spans="1:10" ht="16" x14ac:dyDescent="0.2">
      <c r="A958" s="70"/>
      <c r="B958" s="70"/>
      <c r="C958" s="70"/>
      <c r="D958" s="70"/>
      <c r="E958" s="70"/>
      <c r="F958" s="70"/>
      <c r="G958" s="70"/>
      <c r="H958" s="70"/>
      <c r="I958" s="70"/>
      <c r="J958" s="70"/>
    </row>
    <row r="959" spans="1:10" ht="16" x14ac:dyDescent="0.2">
      <c r="A959" s="70"/>
      <c r="B959" s="70"/>
      <c r="C959" s="70"/>
      <c r="D959" s="70"/>
      <c r="E959" s="70"/>
      <c r="F959" s="70"/>
      <c r="G959" s="70"/>
      <c r="H959" s="70"/>
      <c r="I959" s="70"/>
      <c r="J959" s="70"/>
    </row>
    <row r="960" spans="1:10" ht="16" x14ac:dyDescent="0.2">
      <c r="A960" s="70"/>
      <c r="B960" s="70"/>
      <c r="C960" s="70"/>
      <c r="D960" s="70"/>
      <c r="E960" s="70"/>
      <c r="F960" s="70"/>
      <c r="G960" s="70"/>
      <c r="H960" s="70"/>
      <c r="I960" s="70"/>
      <c r="J960" s="70"/>
    </row>
    <row r="961" spans="1:10" ht="16" x14ac:dyDescent="0.2">
      <c r="A961" s="70"/>
      <c r="B961" s="70"/>
      <c r="C961" s="70"/>
      <c r="D961" s="70"/>
      <c r="E961" s="70"/>
      <c r="F961" s="70"/>
      <c r="G961" s="70"/>
      <c r="H961" s="70"/>
      <c r="I961" s="70"/>
      <c r="J961" s="70"/>
    </row>
    <row r="962" spans="1:10" ht="16" x14ac:dyDescent="0.2">
      <c r="A962" s="70"/>
      <c r="B962" s="70"/>
      <c r="C962" s="70"/>
      <c r="D962" s="70"/>
      <c r="E962" s="70"/>
      <c r="F962" s="70"/>
      <c r="G962" s="70"/>
      <c r="H962" s="70"/>
      <c r="I962" s="70"/>
      <c r="J962" s="70"/>
    </row>
    <row r="963" spans="1:10" ht="16" x14ac:dyDescent="0.2">
      <c r="A963" s="70"/>
      <c r="B963" s="70"/>
      <c r="C963" s="70"/>
      <c r="D963" s="70"/>
      <c r="E963" s="70"/>
      <c r="F963" s="70"/>
      <c r="G963" s="70"/>
      <c r="H963" s="70"/>
      <c r="I963" s="70"/>
      <c r="J963" s="70"/>
    </row>
    <row r="964" spans="1:10" ht="16" x14ac:dyDescent="0.2">
      <c r="A964" s="70"/>
      <c r="B964" s="70"/>
      <c r="C964" s="70"/>
      <c r="D964" s="70"/>
      <c r="E964" s="70"/>
      <c r="F964" s="70"/>
      <c r="G964" s="70"/>
      <c r="H964" s="70"/>
      <c r="I964" s="70"/>
      <c r="J964" s="70"/>
    </row>
    <row r="965" spans="1:10" ht="16" x14ac:dyDescent="0.2">
      <c r="A965" s="70"/>
      <c r="B965" s="70"/>
      <c r="C965" s="70"/>
      <c r="D965" s="70"/>
      <c r="E965" s="70"/>
      <c r="F965" s="70"/>
      <c r="G965" s="70"/>
      <c r="H965" s="70"/>
      <c r="I965" s="70"/>
      <c r="J965" s="70"/>
    </row>
    <row r="966" spans="1:10" ht="16" x14ac:dyDescent="0.2">
      <c r="A966" s="70"/>
      <c r="B966" s="70"/>
      <c r="C966" s="70"/>
      <c r="D966" s="70"/>
      <c r="E966" s="70"/>
      <c r="F966" s="70"/>
      <c r="G966" s="70"/>
      <c r="H966" s="70"/>
      <c r="I966" s="70"/>
      <c r="J966" s="70"/>
    </row>
    <row r="967" spans="1:10" ht="16" x14ac:dyDescent="0.2">
      <c r="A967" s="70"/>
      <c r="B967" s="70"/>
      <c r="C967" s="70"/>
      <c r="D967" s="70"/>
      <c r="E967" s="70"/>
      <c r="F967" s="70"/>
      <c r="G967" s="70"/>
      <c r="H967" s="70"/>
      <c r="I967" s="70"/>
      <c r="J967" s="70"/>
    </row>
    <row r="968" spans="1:10" ht="16" x14ac:dyDescent="0.2">
      <c r="A968" s="70"/>
      <c r="B968" s="70"/>
      <c r="C968" s="70"/>
      <c r="D968" s="70"/>
      <c r="E968" s="70"/>
      <c r="F968" s="70"/>
      <c r="G968" s="70"/>
      <c r="H968" s="70"/>
      <c r="I968" s="70"/>
      <c r="J968" s="70"/>
    </row>
    <row r="969" spans="1:10" ht="16" x14ac:dyDescent="0.2">
      <c r="A969" s="70"/>
      <c r="B969" s="70"/>
      <c r="C969" s="70"/>
      <c r="D969" s="70"/>
      <c r="E969" s="70"/>
      <c r="F969" s="70"/>
      <c r="G969" s="70"/>
      <c r="H969" s="70"/>
      <c r="I969" s="70"/>
      <c r="J969" s="70"/>
    </row>
    <row r="970" spans="1:10" ht="16" x14ac:dyDescent="0.2">
      <c r="A970" s="70"/>
      <c r="B970" s="70"/>
      <c r="C970" s="70"/>
      <c r="D970" s="70"/>
      <c r="E970" s="70"/>
      <c r="F970" s="70"/>
      <c r="G970" s="70"/>
      <c r="H970" s="70"/>
      <c r="I970" s="70"/>
      <c r="J970" s="70"/>
    </row>
    <row r="971" spans="1:10" ht="16" x14ac:dyDescent="0.2">
      <c r="A971" s="70"/>
      <c r="B971" s="70"/>
      <c r="C971" s="70"/>
      <c r="D971" s="70"/>
      <c r="E971" s="70"/>
      <c r="F971" s="70"/>
      <c r="G971" s="70"/>
      <c r="H971" s="70"/>
      <c r="I971" s="70"/>
      <c r="J971" s="70"/>
    </row>
    <row r="972" spans="1:10" ht="16" x14ac:dyDescent="0.2">
      <c r="A972" s="70"/>
      <c r="B972" s="70"/>
      <c r="C972" s="70"/>
      <c r="D972" s="70"/>
      <c r="E972" s="70"/>
      <c r="F972" s="70"/>
      <c r="G972" s="70"/>
      <c r="H972" s="70"/>
      <c r="I972" s="70"/>
      <c r="J972" s="70"/>
    </row>
    <row r="973" spans="1:10" ht="16" x14ac:dyDescent="0.2">
      <c r="A973" s="70"/>
      <c r="B973" s="70"/>
      <c r="C973" s="70"/>
      <c r="D973" s="70"/>
      <c r="E973" s="70"/>
      <c r="F973" s="70"/>
      <c r="G973" s="70"/>
      <c r="H973" s="70"/>
      <c r="I973" s="70"/>
      <c r="J973" s="70"/>
    </row>
    <row r="974" spans="1:10" ht="16" x14ac:dyDescent="0.2">
      <c r="A974" s="70"/>
      <c r="B974" s="70"/>
      <c r="C974" s="70"/>
      <c r="D974" s="70"/>
      <c r="E974" s="70"/>
      <c r="F974" s="70"/>
      <c r="G974" s="70"/>
      <c r="H974" s="70"/>
      <c r="I974" s="70"/>
      <c r="J974" s="70"/>
    </row>
    <row r="975" spans="1:10" ht="16" x14ac:dyDescent="0.2">
      <c r="A975" s="70"/>
      <c r="B975" s="70"/>
      <c r="C975" s="70"/>
      <c r="D975" s="70"/>
      <c r="E975" s="70"/>
      <c r="F975" s="70"/>
      <c r="G975" s="70"/>
      <c r="H975" s="70"/>
      <c r="I975" s="70"/>
      <c r="J975" s="70"/>
    </row>
    <row r="976" spans="1:10" ht="16" x14ac:dyDescent="0.2">
      <c r="A976" s="70"/>
      <c r="B976" s="70"/>
      <c r="C976" s="70"/>
      <c r="D976" s="70"/>
      <c r="E976" s="70"/>
      <c r="F976" s="70"/>
      <c r="G976" s="70"/>
      <c r="H976" s="70"/>
      <c r="I976" s="70"/>
      <c r="J976" s="70"/>
    </row>
    <row r="977" spans="1:10" ht="16" x14ac:dyDescent="0.2">
      <c r="A977" s="70"/>
      <c r="B977" s="70"/>
      <c r="C977" s="70"/>
      <c r="D977" s="70"/>
      <c r="E977" s="70"/>
      <c r="F977" s="70"/>
      <c r="G977" s="70"/>
      <c r="H977" s="70"/>
      <c r="I977" s="70"/>
      <c r="J977" s="70"/>
    </row>
    <row r="978" spans="1:10" ht="16" x14ac:dyDescent="0.2">
      <c r="A978" s="70"/>
      <c r="B978" s="70"/>
      <c r="C978" s="70"/>
      <c r="D978" s="70"/>
      <c r="E978" s="70"/>
      <c r="F978" s="70"/>
      <c r="G978" s="70"/>
      <c r="H978" s="70"/>
      <c r="I978" s="70"/>
      <c r="J978" s="70"/>
    </row>
    <row r="979" spans="1:10" ht="16" x14ac:dyDescent="0.2">
      <c r="A979" s="70"/>
      <c r="B979" s="70"/>
      <c r="C979" s="70"/>
      <c r="D979" s="70"/>
      <c r="E979" s="70"/>
      <c r="F979" s="70"/>
      <c r="G979" s="70"/>
      <c r="H979" s="70"/>
      <c r="I979" s="70"/>
      <c r="J979" s="70"/>
    </row>
    <row r="980" spans="1:10" ht="16" x14ac:dyDescent="0.2">
      <c r="A980" s="70"/>
      <c r="B980" s="70"/>
      <c r="C980" s="70"/>
      <c r="D980" s="70"/>
      <c r="E980" s="70"/>
      <c r="F980" s="70"/>
      <c r="G980" s="70"/>
      <c r="H980" s="70"/>
      <c r="I980" s="70"/>
      <c r="J980" s="70"/>
    </row>
    <row r="981" spans="1:10" ht="16" x14ac:dyDescent="0.2">
      <c r="A981" s="70"/>
      <c r="B981" s="70"/>
      <c r="C981" s="70"/>
      <c r="D981" s="70"/>
      <c r="E981" s="70"/>
      <c r="F981" s="70"/>
      <c r="G981" s="70"/>
      <c r="H981" s="70"/>
      <c r="I981" s="70"/>
      <c r="J981" s="70"/>
    </row>
    <row r="982" spans="1:10" ht="16" x14ac:dyDescent="0.2">
      <c r="A982" s="70"/>
      <c r="B982" s="70"/>
      <c r="C982" s="70"/>
      <c r="D982" s="70"/>
      <c r="E982" s="70"/>
      <c r="F982" s="70"/>
      <c r="G982" s="70"/>
      <c r="H982" s="70"/>
      <c r="I982" s="70"/>
      <c r="J982" s="70"/>
    </row>
    <row r="983" spans="1:10" ht="16" x14ac:dyDescent="0.2">
      <c r="A983" s="70"/>
      <c r="B983" s="70"/>
      <c r="C983" s="70"/>
      <c r="D983" s="70"/>
      <c r="E983" s="70"/>
      <c r="F983" s="70"/>
      <c r="G983" s="70"/>
      <c r="H983" s="70"/>
      <c r="I983" s="70"/>
      <c r="J983" s="70"/>
    </row>
    <row r="984" spans="1:10" ht="16" x14ac:dyDescent="0.2">
      <c r="A984" s="70"/>
      <c r="B984" s="70"/>
      <c r="C984" s="70"/>
      <c r="D984" s="70"/>
      <c r="E984" s="70"/>
      <c r="F984" s="70"/>
      <c r="G984" s="70"/>
      <c r="H984" s="70"/>
      <c r="I984" s="70"/>
      <c r="J984" s="70"/>
    </row>
    <row r="985" spans="1:10" ht="16" x14ac:dyDescent="0.2">
      <c r="A985" s="70"/>
      <c r="B985" s="70"/>
      <c r="C985" s="70"/>
      <c r="D985" s="70"/>
      <c r="E985" s="70"/>
      <c r="F985" s="70"/>
      <c r="G985" s="70"/>
      <c r="H985" s="70"/>
      <c r="I985" s="70"/>
      <c r="J985" s="70"/>
    </row>
    <row r="986" spans="1:10" ht="16" x14ac:dyDescent="0.2">
      <c r="A986" s="70"/>
      <c r="B986" s="70"/>
      <c r="C986" s="70"/>
      <c r="D986" s="70"/>
      <c r="E986" s="70"/>
      <c r="F986" s="70"/>
      <c r="G986" s="70"/>
      <c r="H986" s="70"/>
      <c r="I986" s="70"/>
      <c r="J986" s="70"/>
    </row>
    <row r="987" spans="1:10" ht="16" x14ac:dyDescent="0.2">
      <c r="A987" s="70"/>
      <c r="B987" s="70"/>
      <c r="C987" s="70"/>
      <c r="D987" s="70"/>
      <c r="E987" s="70"/>
      <c r="F987" s="70"/>
      <c r="G987" s="70"/>
      <c r="H987" s="70"/>
      <c r="I987" s="70"/>
      <c r="J987" s="70"/>
    </row>
    <row r="988" spans="1:10" ht="16" x14ac:dyDescent="0.2">
      <c r="A988" s="70"/>
      <c r="B988" s="70"/>
      <c r="C988" s="70"/>
      <c r="D988" s="70"/>
      <c r="E988" s="70"/>
      <c r="F988" s="70"/>
      <c r="G988" s="70"/>
      <c r="H988" s="70"/>
      <c r="I988" s="70"/>
      <c r="J988" s="70"/>
    </row>
    <row r="989" spans="1:10" ht="16" x14ac:dyDescent="0.2">
      <c r="A989" s="70"/>
      <c r="B989" s="70"/>
      <c r="C989" s="70"/>
      <c r="D989" s="70"/>
      <c r="E989" s="70"/>
      <c r="F989" s="70"/>
      <c r="G989" s="70"/>
      <c r="H989" s="70"/>
      <c r="I989" s="70"/>
      <c r="J989" s="70"/>
    </row>
    <row r="990" spans="1:10" ht="16" x14ac:dyDescent="0.2">
      <c r="A990" s="70"/>
      <c r="B990" s="70"/>
      <c r="C990" s="70"/>
      <c r="D990" s="70"/>
      <c r="E990" s="70"/>
      <c r="F990" s="70"/>
      <c r="G990" s="70"/>
      <c r="H990" s="70"/>
      <c r="I990" s="70"/>
      <c r="J990" s="70"/>
    </row>
    <row r="991" spans="1:10" ht="16" x14ac:dyDescent="0.2">
      <c r="A991" s="70"/>
      <c r="B991" s="70"/>
      <c r="C991" s="70"/>
      <c r="D991" s="70"/>
      <c r="E991" s="70"/>
      <c r="F991" s="70"/>
      <c r="G991" s="70"/>
      <c r="H991" s="70"/>
      <c r="I991" s="70"/>
      <c r="J991" s="70"/>
    </row>
    <row r="992" spans="1:10" ht="16" x14ac:dyDescent="0.2">
      <c r="A992" s="70"/>
      <c r="B992" s="70"/>
      <c r="C992" s="70"/>
      <c r="D992" s="70"/>
      <c r="E992" s="70"/>
      <c r="F992" s="70"/>
      <c r="G992" s="70"/>
      <c r="H992" s="70"/>
      <c r="I992" s="70"/>
      <c r="J992" s="70"/>
    </row>
    <row r="993" spans="1:10" ht="16" x14ac:dyDescent="0.2">
      <c r="A993" s="70"/>
      <c r="B993" s="70"/>
      <c r="C993" s="70"/>
      <c r="D993" s="70"/>
      <c r="E993" s="70"/>
      <c r="F993" s="70"/>
      <c r="G993" s="70"/>
      <c r="H993" s="70"/>
      <c r="I993" s="70"/>
      <c r="J993" s="70"/>
    </row>
    <row r="994" spans="1:10" ht="16" x14ac:dyDescent="0.2">
      <c r="A994" s="70"/>
      <c r="B994" s="70"/>
      <c r="C994" s="70"/>
      <c r="D994" s="70"/>
      <c r="E994" s="70"/>
      <c r="F994" s="70"/>
      <c r="G994" s="70"/>
      <c r="H994" s="70"/>
      <c r="I994" s="70"/>
      <c r="J994" s="70"/>
    </row>
    <row r="995" spans="1:10" ht="16" x14ac:dyDescent="0.2">
      <c r="A995" s="70"/>
      <c r="B995" s="70"/>
      <c r="C995" s="70"/>
      <c r="D995" s="70"/>
      <c r="E995" s="70"/>
      <c r="F995" s="70"/>
      <c r="G995" s="70"/>
      <c r="H995" s="70"/>
      <c r="I995" s="70"/>
      <c r="J995" s="70"/>
    </row>
    <row r="996" spans="1:10" ht="16" x14ac:dyDescent="0.2">
      <c r="A996" s="70"/>
      <c r="B996" s="70"/>
      <c r="C996" s="70"/>
      <c r="D996" s="70"/>
      <c r="E996" s="70"/>
      <c r="F996" s="70"/>
      <c r="G996" s="70"/>
      <c r="H996" s="70"/>
      <c r="I996" s="70"/>
      <c r="J996" s="70"/>
    </row>
    <row r="997" spans="1:10" ht="16" x14ac:dyDescent="0.2">
      <c r="A997" s="70"/>
      <c r="B997" s="70"/>
      <c r="C997" s="70"/>
      <c r="D997" s="70"/>
      <c r="E997" s="70"/>
      <c r="F997" s="70"/>
      <c r="G997" s="70"/>
      <c r="H997" s="70"/>
      <c r="I997" s="70"/>
      <c r="J997" s="70"/>
    </row>
    <row r="998" spans="1:10" ht="16" x14ac:dyDescent="0.2">
      <c r="A998" s="70"/>
      <c r="B998" s="70"/>
      <c r="C998" s="70"/>
      <c r="D998" s="70"/>
      <c r="E998" s="70"/>
      <c r="F998" s="70"/>
      <c r="G998" s="70"/>
      <c r="H998" s="70"/>
      <c r="I998" s="70"/>
      <c r="J998" s="70"/>
    </row>
    <row r="999" spans="1:10" ht="16" x14ac:dyDescent="0.2">
      <c r="A999" s="70"/>
      <c r="B999" s="70"/>
      <c r="C999" s="70"/>
      <c r="D999" s="70"/>
      <c r="E999" s="70"/>
      <c r="F999" s="70"/>
      <c r="G999" s="70"/>
      <c r="H999" s="70"/>
      <c r="I999" s="70"/>
      <c r="J999" s="70"/>
    </row>
    <row r="1000" spans="1:10" ht="16" x14ac:dyDescent="0.2">
      <c r="A1000" s="70"/>
      <c r="B1000" s="70"/>
      <c r="C1000" s="70"/>
      <c r="D1000" s="70"/>
      <c r="E1000" s="70"/>
      <c r="F1000" s="70"/>
      <c r="G1000" s="70"/>
      <c r="H1000" s="70"/>
      <c r="I1000" s="70"/>
      <c r="J1000" s="70"/>
    </row>
    <row r="1001" spans="1:10" ht="16" x14ac:dyDescent="0.2">
      <c r="A1001" s="70"/>
      <c r="B1001" s="70"/>
      <c r="C1001" s="70"/>
      <c r="D1001" s="70"/>
      <c r="E1001" s="70"/>
      <c r="F1001" s="70"/>
      <c r="G1001" s="70"/>
      <c r="H1001" s="70"/>
      <c r="I1001" s="70"/>
      <c r="J1001" s="70"/>
    </row>
    <row r="1002" spans="1:10" ht="16" x14ac:dyDescent="0.2">
      <c r="A1002" s="70"/>
      <c r="B1002" s="70"/>
      <c r="C1002" s="70"/>
      <c r="D1002" s="70"/>
      <c r="E1002" s="70"/>
      <c r="F1002" s="70"/>
      <c r="G1002" s="70"/>
      <c r="H1002" s="70"/>
      <c r="I1002" s="70"/>
      <c r="J1002" s="70"/>
    </row>
    <row r="1003" spans="1:10" ht="16" x14ac:dyDescent="0.2">
      <c r="A1003" s="70"/>
      <c r="B1003" s="70"/>
      <c r="C1003" s="70"/>
      <c r="D1003" s="70"/>
      <c r="E1003" s="70"/>
      <c r="F1003" s="70"/>
      <c r="G1003" s="70"/>
      <c r="H1003" s="70"/>
      <c r="I1003" s="70"/>
      <c r="J1003" s="70"/>
    </row>
    <row r="1004" spans="1:10" ht="16" x14ac:dyDescent="0.2">
      <c r="A1004" s="70"/>
      <c r="B1004" s="70"/>
      <c r="C1004" s="70"/>
      <c r="D1004" s="70"/>
      <c r="E1004" s="70"/>
      <c r="F1004" s="70"/>
      <c r="G1004" s="70"/>
      <c r="H1004" s="70"/>
      <c r="I1004" s="70"/>
      <c r="J1004" s="70"/>
    </row>
    <row r="1005" spans="1:10" ht="16" x14ac:dyDescent="0.2">
      <c r="A1005" s="70"/>
      <c r="B1005" s="70"/>
      <c r="C1005" s="70"/>
      <c r="D1005" s="70"/>
      <c r="E1005" s="70"/>
      <c r="F1005" s="70"/>
      <c r="G1005" s="70"/>
      <c r="H1005" s="70"/>
      <c r="I1005" s="70"/>
      <c r="J1005" s="70"/>
    </row>
    <row r="1006" spans="1:10" ht="16" x14ac:dyDescent="0.2">
      <c r="A1006" s="70"/>
      <c r="B1006" s="70"/>
      <c r="C1006" s="70"/>
      <c r="D1006" s="70"/>
      <c r="E1006" s="70"/>
      <c r="F1006" s="70"/>
      <c r="G1006" s="70"/>
      <c r="H1006" s="70"/>
      <c r="I1006" s="70"/>
      <c r="J1006" s="70"/>
    </row>
    <row r="1007" spans="1:10" ht="16" x14ac:dyDescent="0.2">
      <c r="A1007" s="70"/>
      <c r="B1007" s="70"/>
      <c r="C1007" s="70"/>
      <c r="D1007" s="70"/>
      <c r="E1007" s="70"/>
      <c r="F1007" s="70"/>
      <c r="G1007" s="70"/>
      <c r="H1007" s="70"/>
      <c r="I1007" s="70"/>
      <c r="J1007" s="70"/>
    </row>
    <row r="1008" spans="1:10" ht="16" x14ac:dyDescent="0.2">
      <c r="A1008" s="70"/>
      <c r="B1008" s="70"/>
      <c r="C1008" s="70"/>
      <c r="D1008" s="70"/>
      <c r="E1008" s="70"/>
      <c r="F1008" s="70"/>
      <c r="G1008" s="70"/>
      <c r="H1008" s="70"/>
      <c r="I1008" s="70"/>
      <c r="J1008" s="70"/>
    </row>
    <row r="1009" spans="1:10" ht="16" x14ac:dyDescent="0.2">
      <c r="A1009" s="70"/>
      <c r="B1009" s="70"/>
      <c r="C1009" s="70"/>
      <c r="D1009" s="70"/>
      <c r="E1009" s="70"/>
      <c r="F1009" s="70"/>
      <c r="G1009" s="70"/>
      <c r="H1009" s="70"/>
      <c r="I1009" s="70"/>
      <c r="J1009" s="70"/>
    </row>
    <row r="1010" spans="1:10" ht="16" x14ac:dyDescent="0.2">
      <c r="A1010" s="70"/>
      <c r="B1010" s="70"/>
      <c r="C1010" s="70"/>
      <c r="D1010" s="70"/>
      <c r="E1010" s="70"/>
      <c r="F1010" s="70"/>
      <c r="G1010" s="70"/>
      <c r="H1010" s="70"/>
      <c r="I1010" s="70"/>
      <c r="J1010" s="70"/>
    </row>
    <row r="1011" spans="1:10" ht="16" x14ac:dyDescent="0.2">
      <c r="A1011" s="70"/>
      <c r="B1011" s="70"/>
      <c r="C1011" s="70"/>
      <c r="D1011" s="70"/>
      <c r="E1011" s="70"/>
      <c r="F1011" s="70"/>
      <c r="G1011" s="70"/>
      <c r="H1011" s="70"/>
      <c r="I1011" s="70"/>
      <c r="J1011" s="70"/>
    </row>
    <row r="1012" spans="1:10" ht="16" x14ac:dyDescent="0.2">
      <c r="A1012" s="70"/>
      <c r="B1012" s="70"/>
      <c r="C1012" s="70"/>
      <c r="D1012" s="70"/>
      <c r="E1012" s="70"/>
      <c r="F1012" s="70"/>
      <c r="G1012" s="70"/>
      <c r="H1012" s="70"/>
      <c r="I1012" s="70"/>
      <c r="J1012" s="70"/>
    </row>
    <row r="1013" spans="1:10" ht="16" x14ac:dyDescent="0.2">
      <c r="A1013" s="70"/>
      <c r="B1013" s="70"/>
      <c r="C1013" s="70"/>
      <c r="D1013" s="70"/>
      <c r="E1013" s="70"/>
      <c r="F1013" s="70"/>
      <c r="G1013" s="70"/>
      <c r="H1013" s="70"/>
      <c r="I1013" s="70"/>
      <c r="J1013" s="70"/>
    </row>
    <row r="1014" spans="1:10" ht="16" x14ac:dyDescent="0.2">
      <c r="A1014" s="70"/>
      <c r="B1014" s="70"/>
      <c r="C1014" s="70"/>
      <c r="D1014" s="70"/>
      <c r="E1014" s="70"/>
      <c r="F1014" s="70"/>
      <c r="G1014" s="70"/>
      <c r="H1014" s="70"/>
      <c r="I1014" s="70"/>
      <c r="J1014" s="70"/>
    </row>
    <row r="1015" spans="1:10" ht="16" x14ac:dyDescent="0.2">
      <c r="A1015" s="70"/>
      <c r="B1015" s="70"/>
      <c r="C1015" s="70"/>
      <c r="D1015" s="70"/>
      <c r="E1015" s="70"/>
      <c r="F1015" s="70"/>
      <c r="G1015" s="70"/>
      <c r="H1015" s="70"/>
      <c r="I1015" s="70"/>
      <c r="J1015" s="70"/>
    </row>
    <row r="1016" spans="1:10" ht="16" x14ac:dyDescent="0.2">
      <c r="A1016" s="70"/>
      <c r="B1016" s="70"/>
      <c r="C1016" s="70"/>
      <c r="D1016" s="70"/>
      <c r="E1016" s="70"/>
      <c r="F1016" s="70"/>
      <c r="G1016" s="70"/>
      <c r="H1016" s="70"/>
      <c r="I1016" s="70"/>
      <c r="J1016" s="70"/>
    </row>
    <row r="1017" spans="1:10" ht="16" x14ac:dyDescent="0.2">
      <c r="A1017" s="70"/>
      <c r="B1017" s="70"/>
      <c r="C1017" s="70"/>
      <c r="D1017" s="70"/>
      <c r="E1017" s="70"/>
      <c r="F1017" s="70"/>
      <c r="G1017" s="70"/>
      <c r="H1017" s="70"/>
      <c r="I1017" s="70"/>
      <c r="J1017" s="70"/>
    </row>
    <row r="1018" spans="1:10" ht="16" x14ac:dyDescent="0.2">
      <c r="A1018" s="70"/>
      <c r="B1018" s="70"/>
      <c r="C1018" s="70"/>
      <c r="D1018" s="70"/>
      <c r="E1018" s="70"/>
      <c r="F1018" s="70"/>
      <c r="G1018" s="70"/>
      <c r="H1018" s="70"/>
      <c r="I1018" s="70"/>
      <c r="J1018" s="70"/>
    </row>
    <row r="1019" spans="1:10" ht="16" x14ac:dyDescent="0.2">
      <c r="A1019" s="70"/>
      <c r="B1019" s="70"/>
      <c r="C1019" s="70"/>
      <c r="D1019" s="70"/>
      <c r="E1019" s="70"/>
      <c r="F1019" s="70"/>
      <c r="G1019" s="70"/>
      <c r="H1019" s="70"/>
      <c r="I1019" s="70"/>
      <c r="J1019" s="70"/>
    </row>
    <row r="1020" spans="1:10" ht="16" x14ac:dyDescent="0.2">
      <c r="A1020" s="70"/>
      <c r="B1020" s="70"/>
      <c r="C1020" s="70"/>
      <c r="D1020" s="70"/>
      <c r="E1020" s="70"/>
      <c r="F1020" s="70"/>
      <c r="G1020" s="70"/>
      <c r="H1020" s="70"/>
      <c r="I1020" s="70"/>
      <c r="J1020" s="70"/>
    </row>
    <row r="1021" spans="1:10" ht="16" x14ac:dyDescent="0.2">
      <c r="A1021" s="70"/>
      <c r="B1021" s="70"/>
      <c r="C1021" s="70"/>
      <c r="D1021" s="70"/>
      <c r="E1021" s="70"/>
      <c r="F1021" s="70"/>
      <c r="G1021" s="70"/>
      <c r="H1021" s="70"/>
      <c r="I1021" s="70"/>
      <c r="J1021" s="70"/>
    </row>
    <row r="1022" spans="1:10" ht="16" x14ac:dyDescent="0.2">
      <c r="A1022" s="70"/>
      <c r="B1022" s="70"/>
      <c r="C1022" s="70"/>
      <c r="D1022" s="70"/>
      <c r="E1022" s="70"/>
      <c r="F1022" s="70"/>
      <c r="G1022" s="70"/>
      <c r="H1022" s="70"/>
      <c r="I1022" s="70"/>
      <c r="J1022" s="70"/>
    </row>
    <row r="1023" spans="1:10" ht="16" x14ac:dyDescent="0.2">
      <c r="A1023" s="70"/>
      <c r="B1023" s="70"/>
      <c r="C1023" s="70"/>
      <c r="D1023" s="70"/>
      <c r="E1023" s="70"/>
      <c r="F1023" s="70"/>
      <c r="G1023" s="70"/>
      <c r="H1023" s="70"/>
      <c r="I1023" s="70"/>
      <c r="J1023" s="70"/>
    </row>
    <row r="1024" spans="1:10" ht="16" x14ac:dyDescent="0.2">
      <c r="A1024" s="70"/>
      <c r="B1024" s="70"/>
      <c r="C1024" s="70"/>
      <c r="D1024" s="70"/>
      <c r="E1024" s="70"/>
      <c r="F1024" s="70"/>
      <c r="G1024" s="70"/>
      <c r="H1024" s="70"/>
      <c r="I1024" s="70"/>
      <c r="J1024" s="70"/>
    </row>
    <row r="1025" spans="1:10" ht="16" x14ac:dyDescent="0.2">
      <c r="A1025" s="70"/>
      <c r="B1025" s="70"/>
      <c r="C1025" s="70"/>
      <c r="D1025" s="70"/>
      <c r="E1025" s="70"/>
      <c r="F1025" s="70"/>
      <c r="G1025" s="70"/>
      <c r="H1025" s="70"/>
      <c r="I1025" s="70"/>
      <c r="J1025" s="70"/>
    </row>
    <row r="1026" spans="1:10" ht="16" x14ac:dyDescent="0.2">
      <c r="A1026" s="70"/>
      <c r="B1026" s="70"/>
      <c r="C1026" s="70"/>
      <c r="D1026" s="70"/>
      <c r="E1026" s="70"/>
      <c r="F1026" s="70"/>
      <c r="G1026" s="70"/>
      <c r="H1026" s="70"/>
      <c r="I1026" s="70"/>
      <c r="J1026" s="70"/>
    </row>
    <row r="1027" spans="1:10" ht="16" x14ac:dyDescent="0.2">
      <c r="A1027" s="70"/>
      <c r="B1027" s="70"/>
      <c r="C1027" s="70"/>
      <c r="D1027" s="70"/>
      <c r="E1027" s="70"/>
      <c r="F1027" s="70"/>
      <c r="G1027" s="70"/>
      <c r="H1027" s="70"/>
      <c r="I1027" s="70"/>
      <c r="J1027" s="70"/>
    </row>
    <row r="1028" spans="1:10" ht="16" x14ac:dyDescent="0.2">
      <c r="A1028" s="70"/>
      <c r="B1028" s="70"/>
      <c r="C1028" s="70"/>
      <c r="D1028" s="70"/>
      <c r="E1028" s="70"/>
      <c r="F1028" s="70"/>
      <c r="G1028" s="70"/>
      <c r="H1028" s="70"/>
      <c r="I1028" s="70"/>
      <c r="J1028" s="70"/>
    </row>
    <row r="1029" spans="1:10" ht="16" x14ac:dyDescent="0.2">
      <c r="A1029" s="70"/>
      <c r="B1029" s="70"/>
      <c r="C1029" s="70"/>
      <c r="D1029" s="70"/>
      <c r="E1029" s="70"/>
      <c r="F1029" s="70"/>
      <c r="G1029" s="70"/>
      <c r="H1029" s="70"/>
      <c r="I1029" s="70"/>
      <c r="J1029" s="70"/>
    </row>
    <row r="1030" spans="1:10" ht="16" x14ac:dyDescent="0.2">
      <c r="A1030" s="70"/>
      <c r="B1030" s="70"/>
      <c r="C1030" s="70"/>
      <c r="D1030" s="70"/>
      <c r="E1030" s="70"/>
      <c r="F1030" s="70"/>
      <c r="G1030" s="70"/>
      <c r="H1030" s="70"/>
      <c r="I1030" s="70"/>
      <c r="J1030" s="70"/>
    </row>
    <row r="1031" spans="1:10" ht="16" x14ac:dyDescent="0.2">
      <c r="A1031" s="70"/>
      <c r="B1031" s="70"/>
      <c r="C1031" s="70"/>
      <c r="D1031" s="70"/>
      <c r="E1031" s="70"/>
      <c r="F1031" s="70"/>
      <c r="G1031" s="70"/>
      <c r="H1031" s="70"/>
      <c r="I1031" s="70"/>
      <c r="J1031" s="70"/>
    </row>
    <row r="1032" spans="1:10" ht="16" x14ac:dyDescent="0.2">
      <c r="A1032" s="70"/>
      <c r="B1032" s="70"/>
      <c r="C1032" s="70"/>
      <c r="D1032" s="70"/>
      <c r="E1032" s="70"/>
      <c r="F1032" s="70"/>
      <c r="G1032" s="70"/>
      <c r="H1032" s="70"/>
      <c r="I1032" s="70"/>
      <c r="J1032" s="70"/>
    </row>
    <row r="1033" spans="1:10" ht="16" x14ac:dyDescent="0.2">
      <c r="A1033" s="70"/>
      <c r="B1033" s="70"/>
      <c r="C1033" s="70"/>
      <c r="D1033" s="70"/>
      <c r="E1033" s="70"/>
      <c r="F1033" s="70"/>
      <c r="G1033" s="70"/>
      <c r="H1033" s="70"/>
      <c r="I1033" s="70"/>
      <c r="J1033" s="70"/>
    </row>
    <row r="1034" spans="1:10" ht="16" x14ac:dyDescent="0.2">
      <c r="A1034" s="70"/>
      <c r="B1034" s="70"/>
      <c r="C1034" s="70"/>
      <c r="D1034" s="70"/>
      <c r="E1034" s="70"/>
      <c r="F1034" s="70"/>
      <c r="G1034" s="70"/>
      <c r="H1034" s="70"/>
      <c r="I1034" s="70"/>
      <c r="J1034" s="70"/>
    </row>
    <row r="1035" spans="1:10" ht="16" x14ac:dyDescent="0.2">
      <c r="A1035" s="70"/>
      <c r="B1035" s="70"/>
      <c r="C1035" s="70"/>
      <c r="D1035" s="70"/>
      <c r="E1035" s="70"/>
      <c r="F1035" s="70"/>
      <c r="G1035" s="70"/>
      <c r="H1035" s="70"/>
      <c r="I1035" s="70"/>
      <c r="J1035" s="70"/>
    </row>
    <row r="1036" spans="1:10" ht="16" x14ac:dyDescent="0.2">
      <c r="A1036" s="70"/>
      <c r="B1036" s="70"/>
      <c r="C1036" s="70"/>
      <c r="D1036" s="70"/>
      <c r="E1036" s="70"/>
      <c r="F1036" s="70"/>
      <c r="G1036" s="70"/>
      <c r="H1036" s="70"/>
      <c r="I1036" s="70"/>
      <c r="J1036" s="70"/>
    </row>
    <row r="1037" spans="1:10" ht="16" x14ac:dyDescent="0.2">
      <c r="A1037" s="70"/>
      <c r="B1037" s="70"/>
      <c r="C1037" s="70"/>
      <c r="D1037" s="70"/>
      <c r="E1037" s="70"/>
      <c r="F1037" s="70"/>
      <c r="G1037" s="70"/>
      <c r="H1037" s="70"/>
      <c r="I1037" s="70"/>
      <c r="J1037" s="70"/>
    </row>
    <row r="1038" spans="1:10" ht="16" x14ac:dyDescent="0.2">
      <c r="A1038" s="70"/>
      <c r="B1038" s="70"/>
      <c r="C1038" s="70"/>
      <c r="D1038" s="70"/>
      <c r="E1038" s="70"/>
      <c r="F1038" s="70"/>
      <c r="G1038" s="70"/>
      <c r="H1038" s="70"/>
      <c r="I1038" s="70"/>
      <c r="J1038" s="70"/>
    </row>
    <row r="1039" spans="1:10" ht="16" x14ac:dyDescent="0.2">
      <c r="A1039" s="70"/>
      <c r="B1039" s="70"/>
      <c r="C1039" s="70"/>
      <c r="D1039" s="70"/>
      <c r="E1039" s="70"/>
      <c r="F1039" s="70"/>
      <c r="G1039" s="70"/>
      <c r="H1039" s="70"/>
      <c r="I1039" s="70"/>
      <c r="J1039" s="70"/>
    </row>
    <row r="1040" spans="1:10" ht="16" x14ac:dyDescent="0.2">
      <c r="A1040" s="70"/>
      <c r="B1040" s="70"/>
      <c r="C1040" s="70"/>
      <c r="D1040" s="70"/>
      <c r="E1040" s="70"/>
      <c r="F1040" s="70"/>
      <c r="G1040" s="70"/>
      <c r="H1040" s="70"/>
      <c r="I1040" s="70"/>
      <c r="J1040" s="70"/>
    </row>
    <row r="1041" spans="1:10" ht="16" x14ac:dyDescent="0.2">
      <c r="A1041" s="70"/>
      <c r="B1041" s="70"/>
      <c r="C1041" s="70"/>
      <c r="D1041" s="70"/>
      <c r="E1041" s="70"/>
      <c r="F1041" s="70"/>
      <c r="G1041" s="70"/>
      <c r="H1041" s="70"/>
      <c r="I1041" s="70"/>
      <c r="J1041" s="70"/>
    </row>
    <row r="1042" spans="1:10" ht="16" x14ac:dyDescent="0.2">
      <c r="A1042" s="70"/>
      <c r="B1042" s="70"/>
      <c r="C1042" s="70"/>
      <c r="D1042" s="70"/>
      <c r="E1042" s="70"/>
      <c r="F1042" s="70"/>
      <c r="G1042" s="70"/>
      <c r="H1042" s="70"/>
      <c r="I1042" s="70"/>
      <c r="J1042" s="70"/>
    </row>
    <row r="1043" spans="1:10" ht="16" x14ac:dyDescent="0.2">
      <c r="A1043" s="70"/>
      <c r="B1043" s="70"/>
      <c r="C1043" s="70"/>
      <c r="D1043" s="70"/>
      <c r="E1043" s="70"/>
      <c r="F1043" s="70"/>
      <c r="G1043" s="70"/>
      <c r="H1043" s="70"/>
      <c r="I1043" s="70"/>
      <c r="J1043" s="70"/>
    </row>
    <row r="1044" spans="1:10" ht="16" x14ac:dyDescent="0.2">
      <c r="A1044" s="70"/>
      <c r="B1044" s="70"/>
      <c r="C1044" s="70"/>
      <c r="D1044" s="70"/>
      <c r="E1044" s="70"/>
      <c r="F1044" s="70"/>
      <c r="G1044" s="70"/>
      <c r="H1044" s="70"/>
      <c r="I1044" s="70"/>
      <c r="J1044" s="70"/>
    </row>
    <row r="1045" spans="1:10" ht="16" x14ac:dyDescent="0.2">
      <c r="A1045" s="70"/>
      <c r="B1045" s="70"/>
      <c r="C1045" s="70"/>
      <c r="D1045" s="70"/>
      <c r="E1045" s="70"/>
      <c r="F1045" s="70"/>
      <c r="G1045" s="70"/>
      <c r="H1045" s="70"/>
      <c r="I1045" s="70"/>
      <c r="J1045" s="70"/>
    </row>
    <row r="1046" spans="1:10" ht="16" x14ac:dyDescent="0.2">
      <c r="A1046" s="70"/>
      <c r="B1046" s="70"/>
      <c r="C1046" s="70"/>
      <c r="D1046" s="70"/>
      <c r="E1046" s="70"/>
      <c r="F1046" s="70"/>
      <c r="G1046" s="70"/>
      <c r="H1046" s="70"/>
      <c r="I1046" s="70"/>
      <c r="J1046" s="70"/>
    </row>
    <row r="1047" spans="1:10" ht="16" x14ac:dyDescent="0.2">
      <c r="A1047" s="70"/>
      <c r="B1047" s="70"/>
      <c r="C1047" s="70"/>
      <c r="D1047" s="70"/>
      <c r="E1047" s="70"/>
      <c r="F1047" s="70"/>
      <c r="G1047" s="70"/>
      <c r="H1047" s="70"/>
      <c r="I1047" s="70"/>
      <c r="J1047" s="70"/>
    </row>
    <row r="1048" spans="1:10" ht="16" x14ac:dyDescent="0.2">
      <c r="A1048" s="70"/>
      <c r="B1048" s="70"/>
      <c r="C1048" s="70"/>
      <c r="D1048" s="70"/>
      <c r="E1048" s="70"/>
      <c r="F1048" s="70"/>
      <c r="G1048" s="70"/>
      <c r="H1048" s="70"/>
      <c r="I1048" s="70"/>
      <c r="J1048" s="70"/>
    </row>
    <row r="1049" spans="1:10" ht="16" x14ac:dyDescent="0.2">
      <c r="A1049" s="70"/>
      <c r="B1049" s="70"/>
      <c r="C1049" s="70"/>
      <c r="D1049" s="70"/>
      <c r="E1049" s="70"/>
      <c r="F1049" s="70"/>
      <c r="G1049" s="70"/>
      <c r="H1049" s="70"/>
      <c r="I1049" s="70"/>
      <c r="J1049" s="70"/>
    </row>
    <row r="1050" spans="1:10" ht="16" x14ac:dyDescent="0.2">
      <c r="A1050" s="70"/>
      <c r="B1050" s="70"/>
      <c r="C1050" s="70"/>
      <c r="D1050" s="70"/>
      <c r="E1050" s="70"/>
      <c r="F1050" s="70"/>
      <c r="G1050" s="70"/>
      <c r="H1050" s="70"/>
      <c r="I1050" s="70"/>
      <c r="J1050" s="70"/>
    </row>
    <row r="1051" spans="1:10" ht="16" x14ac:dyDescent="0.2">
      <c r="A1051" s="70"/>
      <c r="B1051" s="70"/>
      <c r="C1051" s="70"/>
      <c r="D1051" s="70"/>
      <c r="E1051" s="70"/>
      <c r="F1051" s="70"/>
      <c r="G1051" s="70"/>
      <c r="H1051" s="70"/>
      <c r="I1051" s="70"/>
      <c r="J1051" s="70"/>
    </row>
    <row r="1052" spans="1:10" ht="16" x14ac:dyDescent="0.2">
      <c r="A1052" s="70"/>
      <c r="B1052" s="70"/>
      <c r="C1052" s="70"/>
      <c r="D1052" s="70"/>
      <c r="E1052" s="70"/>
      <c r="F1052" s="70"/>
      <c r="G1052" s="70"/>
      <c r="H1052" s="70"/>
      <c r="I1052" s="70"/>
      <c r="J1052" s="70"/>
    </row>
    <row r="1053" spans="1:10" ht="16" x14ac:dyDescent="0.2">
      <c r="A1053" s="70"/>
      <c r="B1053" s="70"/>
      <c r="C1053" s="70"/>
      <c r="D1053" s="70"/>
      <c r="E1053" s="70"/>
      <c r="F1053" s="70"/>
      <c r="G1053" s="70"/>
      <c r="H1053" s="70"/>
      <c r="I1053" s="70"/>
      <c r="J1053" s="70"/>
    </row>
    <row r="1054" spans="1:10" ht="16" x14ac:dyDescent="0.2">
      <c r="A1054" s="70"/>
      <c r="B1054" s="70"/>
      <c r="C1054" s="70"/>
      <c r="D1054" s="70"/>
      <c r="E1054" s="70"/>
      <c r="F1054" s="70"/>
      <c r="G1054" s="70"/>
      <c r="H1054" s="70"/>
      <c r="I1054" s="70"/>
      <c r="J1054" s="70"/>
    </row>
    <row r="1055" spans="1:10" ht="16" x14ac:dyDescent="0.2">
      <c r="A1055" s="70"/>
      <c r="B1055" s="70"/>
      <c r="C1055" s="70"/>
      <c r="D1055" s="70"/>
      <c r="E1055" s="70"/>
      <c r="F1055" s="70"/>
      <c r="G1055" s="70"/>
      <c r="H1055" s="70"/>
      <c r="I1055" s="70"/>
      <c r="J1055" s="70"/>
    </row>
    <row r="1056" spans="1:10" ht="16" x14ac:dyDescent="0.2">
      <c r="A1056" s="70"/>
      <c r="B1056" s="70"/>
      <c r="C1056" s="70"/>
      <c r="D1056" s="70"/>
      <c r="E1056" s="70"/>
      <c r="F1056" s="70"/>
      <c r="G1056" s="70"/>
      <c r="H1056" s="70"/>
      <c r="I1056" s="70"/>
      <c r="J1056" s="70"/>
    </row>
    <row r="1057" spans="1:10" ht="16" x14ac:dyDescent="0.2">
      <c r="A1057" s="70"/>
      <c r="B1057" s="70"/>
      <c r="C1057" s="70"/>
      <c r="D1057" s="70"/>
      <c r="E1057" s="70"/>
      <c r="F1057" s="70"/>
      <c r="G1057" s="70"/>
      <c r="H1057" s="70"/>
      <c r="I1057" s="70"/>
      <c r="J1057" s="70"/>
    </row>
    <row r="1058" spans="1:10" ht="16" x14ac:dyDescent="0.2">
      <c r="A1058" s="70"/>
      <c r="B1058" s="70"/>
      <c r="C1058" s="70"/>
      <c r="D1058" s="70"/>
      <c r="E1058" s="70"/>
      <c r="F1058" s="70"/>
      <c r="G1058" s="70"/>
      <c r="H1058" s="70"/>
      <c r="I1058" s="70"/>
      <c r="J1058" s="70"/>
    </row>
    <row r="1059" spans="1:10" ht="16" x14ac:dyDescent="0.2">
      <c r="A1059" s="70"/>
      <c r="B1059" s="70"/>
      <c r="C1059" s="70"/>
      <c r="D1059" s="70"/>
      <c r="E1059" s="70"/>
      <c r="F1059" s="70"/>
      <c r="G1059" s="70"/>
      <c r="H1059" s="70"/>
      <c r="I1059" s="70"/>
      <c r="J1059" s="70"/>
    </row>
    <row r="1060" spans="1:10" ht="16" x14ac:dyDescent="0.2">
      <c r="A1060" s="70"/>
      <c r="B1060" s="70"/>
      <c r="C1060" s="70"/>
      <c r="D1060" s="70"/>
      <c r="E1060" s="70"/>
      <c r="F1060" s="70"/>
      <c r="G1060" s="70"/>
      <c r="H1060" s="70"/>
      <c r="I1060" s="70"/>
      <c r="J1060" s="70"/>
    </row>
    <row r="1061" spans="1:10" ht="16" x14ac:dyDescent="0.2">
      <c r="A1061" s="70"/>
      <c r="B1061" s="70"/>
      <c r="C1061" s="70"/>
      <c r="D1061" s="70"/>
      <c r="E1061" s="70"/>
      <c r="F1061" s="70"/>
      <c r="G1061" s="70"/>
      <c r="H1061" s="70"/>
      <c r="I1061" s="70"/>
      <c r="J1061" s="70"/>
    </row>
    <row r="1062" spans="1:10" ht="16" x14ac:dyDescent="0.2">
      <c r="A1062" s="70"/>
      <c r="B1062" s="70"/>
      <c r="C1062" s="70"/>
      <c r="D1062" s="70"/>
      <c r="E1062" s="70"/>
      <c r="F1062" s="70"/>
      <c r="G1062" s="70"/>
      <c r="H1062" s="70"/>
      <c r="I1062" s="70"/>
      <c r="J1062" s="70"/>
    </row>
    <row r="1063" spans="1:10" ht="16" x14ac:dyDescent="0.2">
      <c r="A1063" s="70"/>
      <c r="B1063" s="70"/>
      <c r="C1063" s="70"/>
      <c r="D1063" s="70"/>
      <c r="E1063" s="70"/>
      <c r="F1063" s="70"/>
      <c r="G1063" s="70"/>
      <c r="H1063" s="70"/>
      <c r="I1063" s="70"/>
      <c r="J1063" s="70"/>
    </row>
    <row r="1064" spans="1:10" ht="16" x14ac:dyDescent="0.2">
      <c r="A1064" s="70"/>
      <c r="B1064" s="70"/>
      <c r="C1064" s="70"/>
      <c r="D1064" s="70"/>
      <c r="E1064" s="70"/>
      <c r="F1064" s="70"/>
      <c r="G1064" s="70"/>
      <c r="H1064" s="70"/>
      <c r="I1064" s="70"/>
      <c r="J1064" s="70"/>
    </row>
    <row r="1065" spans="1:10" ht="16" x14ac:dyDescent="0.2">
      <c r="A1065" s="70"/>
      <c r="B1065" s="70"/>
      <c r="C1065" s="70"/>
      <c r="D1065" s="70"/>
      <c r="E1065" s="70"/>
      <c r="F1065" s="70"/>
      <c r="G1065" s="70"/>
      <c r="H1065" s="70"/>
      <c r="I1065" s="70"/>
      <c r="J1065" s="70"/>
    </row>
    <row r="1066" spans="1:10" ht="16" x14ac:dyDescent="0.2">
      <c r="A1066" s="70"/>
      <c r="B1066" s="70"/>
      <c r="C1066" s="70"/>
      <c r="D1066" s="70"/>
      <c r="E1066" s="70"/>
      <c r="F1066" s="70"/>
      <c r="G1066" s="70"/>
      <c r="H1066" s="70"/>
      <c r="I1066" s="70"/>
      <c r="J1066" s="70"/>
    </row>
    <row r="1067" spans="1:10" ht="16" x14ac:dyDescent="0.2">
      <c r="A1067" s="70"/>
      <c r="B1067" s="70"/>
      <c r="C1067" s="70"/>
      <c r="D1067" s="70"/>
      <c r="E1067" s="70"/>
      <c r="F1067" s="70"/>
      <c r="G1067" s="70"/>
      <c r="H1067" s="70"/>
      <c r="I1067" s="70"/>
      <c r="J1067" s="70"/>
    </row>
    <row r="1068" spans="1:10" ht="16" x14ac:dyDescent="0.2">
      <c r="A1068" s="70"/>
      <c r="B1068" s="70"/>
      <c r="C1068" s="70"/>
      <c r="D1068" s="70"/>
      <c r="E1068" s="70"/>
      <c r="F1068" s="70"/>
      <c r="G1068" s="70"/>
      <c r="H1068" s="70"/>
      <c r="I1068" s="70"/>
      <c r="J1068" s="70"/>
    </row>
    <row r="1069" spans="1:10" ht="16" x14ac:dyDescent="0.2">
      <c r="A1069" s="70"/>
      <c r="B1069" s="70"/>
      <c r="C1069" s="70"/>
      <c r="D1069" s="70"/>
      <c r="E1069" s="70"/>
      <c r="F1069" s="70"/>
      <c r="G1069" s="70"/>
      <c r="H1069" s="70"/>
      <c r="I1069" s="70"/>
      <c r="J1069" s="70"/>
    </row>
    <row r="1070" spans="1:10" ht="16" x14ac:dyDescent="0.2">
      <c r="A1070" s="70"/>
      <c r="B1070" s="70"/>
      <c r="C1070" s="70"/>
      <c r="D1070" s="70"/>
      <c r="E1070" s="70"/>
      <c r="F1070" s="70"/>
      <c r="G1070" s="70"/>
      <c r="H1070" s="70"/>
      <c r="I1070" s="70"/>
      <c r="J1070" s="70"/>
    </row>
    <row r="1071" spans="1:10" ht="16" x14ac:dyDescent="0.2">
      <c r="A1071" s="70"/>
      <c r="B1071" s="70"/>
      <c r="C1071" s="70"/>
      <c r="D1071" s="70"/>
      <c r="E1071" s="70"/>
      <c r="F1071" s="70"/>
      <c r="G1071" s="70"/>
      <c r="H1071" s="70"/>
      <c r="I1071" s="70"/>
      <c r="J1071" s="70"/>
    </row>
    <row r="1072" spans="1:10" ht="16" x14ac:dyDescent="0.2">
      <c r="A1072" s="70"/>
      <c r="B1072" s="70"/>
      <c r="C1072" s="70"/>
      <c r="D1072" s="70"/>
      <c r="E1072" s="70"/>
      <c r="F1072" s="70"/>
      <c r="G1072" s="70"/>
      <c r="H1072" s="70"/>
      <c r="I1072" s="70"/>
      <c r="J1072" s="70"/>
    </row>
    <row r="1073" spans="1:10" ht="16" x14ac:dyDescent="0.2">
      <c r="A1073" s="70"/>
      <c r="B1073" s="70"/>
      <c r="C1073" s="70"/>
      <c r="D1073" s="70"/>
      <c r="E1073" s="70"/>
      <c r="F1073" s="70"/>
      <c r="G1073" s="70"/>
      <c r="H1073" s="70"/>
      <c r="I1073" s="70"/>
      <c r="J1073" s="70"/>
    </row>
    <row r="1074" spans="1:10" ht="16" x14ac:dyDescent="0.2">
      <c r="A1074" s="70"/>
      <c r="B1074" s="70"/>
      <c r="C1074" s="70"/>
      <c r="D1074" s="70"/>
      <c r="E1074" s="70"/>
      <c r="F1074" s="70"/>
      <c r="G1074" s="70"/>
      <c r="H1074" s="70"/>
      <c r="I1074" s="70"/>
      <c r="J1074" s="70"/>
    </row>
    <row r="1075" spans="1:10" ht="16" x14ac:dyDescent="0.2">
      <c r="A1075" s="70"/>
      <c r="B1075" s="70"/>
      <c r="C1075" s="70"/>
      <c r="D1075" s="70"/>
      <c r="E1075" s="70"/>
      <c r="F1075" s="70"/>
      <c r="G1075" s="70"/>
      <c r="H1075" s="70"/>
      <c r="I1075" s="70"/>
      <c r="J1075" s="70"/>
    </row>
    <row r="1076" spans="1:10" ht="16" x14ac:dyDescent="0.2">
      <c r="A1076" s="70"/>
      <c r="B1076" s="70"/>
      <c r="C1076" s="70"/>
      <c r="D1076" s="70"/>
      <c r="E1076" s="70"/>
      <c r="F1076" s="70"/>
      <c r="G1076" s="70"/>
      <c r="H1076" s="70"/>
      <c r="I1076" s="70"/>
      <c r="J1076" s="70"/>
    </row>
    <row r="1077" spans="1:10" ht="16" x14ac:dyDescent="0.2">
      <c r="A1077" s="70"/>
      <c r="B1077" s="70"/>
      <c r="C1077" s="70"/>
      <c r="D1077" s="70"/>
      <c r="E1077" s="70"/>
      <c r="F1077" s="70"/>
      <c r="G1077" s="70"/>
      <c r="H1077" s="70"/>
      <c r="I1077" s="70"/>
      <c r="J1077" s="70"/>
    </row>
    <row r="1078" spans="1:10" ht="16" x14ac:dyDescent="0.2">
      <c r="A1078" s="70"/>
      <c r="B1078" s="70"/>
      <c r="C1078" s="70"/>
      <c r="D1078" s="70"/>
      <c r="E1078" s="70"/>
      <c r="F1078" s="70"/>
      <c r="G1078" s="70"/>
      <c r="H1078" s="70"/>
      <c r="I1078" s="70"/>
      <c r="J1078" s="70"/>
    </row>
    <row r="1079" spans="1:10" ht="16" x14ac:dyDescent="0.2">
      <c r="A1079" s="70"/>
      <c r="B1079" s="70"/>
      <c r="C1079" s="70"/>
      <c r="D1079" s="70"/>
      <c r="E1079" s="70"/>
      <c r="F1079" s="70"/>
      <c r="G1079" s="70"/>
      <c r="H1079" s="70"/>
      <c r="I1079" s="70"/>
      <c r="J1079" s="70"/>
    </row>
    <row r="1080" spans="1:10" ht="16" x14ac:dyDescent="0.2">
      <c r="A1080" s="70"/>
      <c r="B1080" s="70"/>
      <c r="C1080" s="70"/>
      <c r="D1080" s="70"/>
      <c r="E1080" s="70"/>
      <c r="F1080" s="70"/>
      <c r="G1080" s="70"/>
      <c r="H1080" s="70"/>
      <c r="I1080" s="70"/>
      <c r="J1080" s="70"/>
    </row>
    <row r="1081" spans="1:10" ht="16" x14ac:dyDescent="0.2">
      <c r="A1081" s="70"/>
      <c r="B1081" s="70"/>
      <c r="C1081" s="70"/>
      <c r="D1081" s="70"/>
      <c r="E1081" s="70"/>
      <c r="F1081" s="70"/>
      <c r="G1081" s="70"/>
      <c r="H1081" s="70"/>
      <c r="I1081" s="70"/>
      <c r="J1081" s="70"/>
    </row>
    <row r="1082" spans="1:10" ht="16" x14ac:dyDescent="0.2">
      <c r="A1082" s="70"/>
      <c r="B1082" s="70"/>
      <c r="C1082" s="70"/>
      <c r="D1082" s="70"/>
      <c r="E1082" s="70"/>
      <c r="F1082" s="70"/>
      <c r="G1082" s="70"/>
      <c r="H1082" s="70"/>
      <c r="I1082" s="70"/>
      <c r="J1082" s="70"/>
    </row>
    <row r="1083" spans="1:10" ht="16" x14ac:dyDescent="0.2">
      <c r="A1083" s="70"/>
      <c r="B1083" s="70"/>
      <c r="C1083" s="70"/>
      <c r="D1083" s="70"/>
      <c r="E1083" s="70"/>
      <c r="F1083" s="70"/>
      <c r="G1083" s="70"/>
      <c r="H1083" s="70"/>
      <c r="I1083" s="70"/>
      <c r="J1083" s="70"/>
    </row>
    <row r="1084" spans="1:10" ht="16" x14ac:dyDescent="0.2">
      <c r="A1084" s="70"/>
      <c r="B1084" s="70"/>
      <c r="C1084" s="70"/>
      <c r="D1084" s="70"/>
      <c r="E1084" s="70"/>
      <c r="F1084" s="70"/>
      <c r="G1084" s="70"/>
      <c r="H1084" s="70"/>
      <c r="I1084" s="70"/>
      <c r="J1084" s="70"/>
    </row>
    <row r="1085" spans="1:10" ht="16" x14ac:dyDescent="0.2">
      <c r="A1085" s="70"/>
      <c r="B1085" s="70"/>
      <c r="C1085" s="70"/>
      <c r="D1085" s="70"/>
      <c r="E1085" s="70"/>
      <c r="F1085" s="70"/>
      <c r="G1085" s="70"/>
      <c r="H1085" s="70"/>
      <c r="I1085" s="70"/>
      <c r="J1085" s="70"/>
    </row>
    <row r="1086" spans="1:10" ht="16" x14ac:dyDescent="0.2">
      <c r="A1086" s="70"/>
      <c r="B1086" s="70"/>
      <c r="C1086" s="70"/>
      <c r="D1086" s="70"/>
      <c r="E1086" s="70"/>
      <c r="F1086" s="70"/>
      <c r="G1086" s="70"/>
      <c r="H1086" s="70"/>
      <c r="I1086" s="70"/>
      <c r="J1086" s="70"/>
    </row>
    <row r="1087" spans="1:10" ht="16" x14ac:dyDescent="0.2">
      <c r="A1087" s="70"/>
      <c r="B1087" s="70"/>
      <c r="C1087" s="70"/>
      <c r="D1087" s="70"/>
      <c r="E1087" s="70"/>
      <c r="F1087" s="70"/>
      <c r="G1087" s="70"/>
      <c r="H1087" s="70"/>
      <c r="I1087" s="70"/>
      <c r="J1087" s="70"/>
    </row>
    <row r="1088" spans="1:10" ht="16" x14ac:dyDescent="0.2">
      <c r="A1088" s="70"/>
      <c r="B1088" s="70"/>
      <c r="C1088" s="70"/>
      <c r="D1088" s="70"/>
      <c r="E1088" s="70"/>
      <c r="F1088" s="70"/>
      <c r="G1088" s="70"/>
      <c r="H1088" s="70"/>
      <c r="I1088" s="70"/>
      <c r="J1088" s="70"/>
    </row>
    <row r="1089" spans="1:10" ht="16" x14ac:dyDescent="0.2">
      <c r="A1089" s="70"/>
      <c r="B1089" s="70"/>
      <c r="C1089" s="70"/>
      <c r="D1089" s="70"/>
      <c r="E1089" s="70"/>
      <c r="F1089" s="70"/>
      <c r="G1089" s="70"/>
      <c r="H1089" s="70"/>
      <c r="I1089" s="70"/>
      <c r="J1089" s="70"/>
    </row>
    <row r="1090" spans="1:10" ht="16" x14ac:dyDescent="0.2">
      <c r="A1090" s="70"/>
      <c r="B1090" s="70"/>
      <c r="C1090" s="70"/>
      <c r="D1090" s="70"/>
      <c r="E1090" s="70"/>
      <c r="F1090" s="70"/>
      <c r="G1090" s="70"/>
      <c r="H1090" s="70"/>
      <c r="I1090" s="70"/>
      <c r="J1090" s="70"/>
    </row>
    <row r="1091" spans="1:10" ht="16" x14ac:dyDescent="0.2">
      <c r="A1091" s="70"/>
      <c r="B1091" s="70"/>
      <c r="C1091" s="70"/>
      <c r="D1091" s="70"/>
      <c r="E1091" s="70"/>
      <c r="F1091" s="70"/>
      <c r="G1091" s="70"/>
      <c r="H1091" s="70"/>
      <c r="I1091" s="70"/>
      <c r="J1091" s="70"/>
    </row>
    <row r="1092" spans="1:10" ht="16" x14ac:dyDescent="0.2">
      <c r="A1092" s="70"/>
      <c r="B1092" s="70"/>
      <c r="C1092" s="70"/>
      <c r="D1092" s="70"/>
      <c r="E1092" s="70"/>
      <c r="F1092" s="70"/>
      <c r="G1092" s="70"/>
      <c r="H1092" s="70"/>
      <c r="I1092" s="70"/>
      <c r="J1092" s="70"/>
    </row>
    <row r="1093" spans="1:10" ht="16" x14ac:dyDescent="0.2">
      <c r="A1093" s="70"/>
      <c r="B1093" s="70"/>
      <c r="C1093" s="70"/>
      <c r="D1093" s="70"/>
      <c r="E1093" s="70"/>
      <c r="F1093" s="70"/>
      <c r="G1093" s="70"/>
      <c r="H1093" s="70"/>
      <c r="I1093" s="70"/>
      <c r="J1093" s="70"/>
    </row>
    <row r="1094" spans="1:10" ht="16" x14ac:dyDescent="0.2">
      <c r="A1094" s="70"/>
      <c r="B1094" s="70"/>
      <c r="C1094" s="70"/>
      <c r="D1094" s="70"/>
      <c r="E1094" s="70"/>
      <c r="F1094" s="70"/>
      <c r="G1094" s="70"/>
      <c r="H1094" s="70"/>
      <c r="I1094" s="70"/>
      <c r="J1094" s="70"/>
    </row>
    <row r="1095" spans="1:10" ht="16" x14ac:dyDescent="0.2">
      <c r="A1095" s="70"/>
      <c r="B1095" s="70"/>
      <c r="C1095" s="70"/>
      <c r="D1095" s="70"/>
      <c r="E1095" s="70"/>
      <c r="F1095" s="70"/>
      <c r="G1095" s="70"/>
      <c r="H1095" s="70"/>
      <c r="I1095" s="70"/>
      <c r="J1095" s="70"/>
    </row>
    <row r="1096" spans="1:10" ht="16" x14ac:dyDescent="0.2">
      <c r="A1096" s="70"/>
      <c r="B1096" s="70"/>
      <c r="C1096" s="70"/>
      <c r="D1096" s="70"/>
      <c r="E1096" s="70"/>
      <c r="F1096" s="70"/>
      <c r="G1096" s="70"/>
      <c r="H1096" s="70"/>
      <c r="I1096" s="70"/>
      <c r="J1096" s="70"/>
    </row>
    <row r="1097" spans="1:10" ht="16" x14ac:dyDescent="0.2">
      <c r="A1097" s="70"/>
      <c r="B1097" s="70"/>
      <c r="C1097" s="70"/>
      <c r="D1097" s="70"/>
      <c r="E1097" s="70"/>
      <c r="F1097" s="70"/>
      <c r="G1097" s="70"/>
      <c r="H1097" s="70"/>
      <c r="I1097" s="70"/>
      <c r="J1097" s="70"/>
    </row>
    <row r="1098" spans="1:10" ht="16" x14ac:dyDescent="0.2">
      <c r="A1098" s="70"/>
      <c r="B1098" s="70"/>
      <c r="C1098" s="70"/>
      <c r="D1098" s="70"/>
      <c r="E1098" s="70"/>
      <c r="F1098" s="70"/>
      <c r="G1098" s="70"/>
      <c r="H1098" s="70"/>
      <c r="I1098" s="70"/>
      <c r="J1098" s="70"/>
    </row>
    <row r="1099" spans="1:10" ht="16" x14ac:dyDescent="0.2">
      <c r="A1099" s="70"/>
      <c r="B1099" s="70"/>
      <c r="C1099" s="70"/>
      <c r="D1099" s="70"/>
      <c r="E1099" s="70"/>
      <c r="F1099" s="70"/>
      <c r="G1099" s="70"/>
      <c r="H1099" s="70"/>
      <c r="I1099" s="70"/>
      <c r="J1099" s="70"/>
    </row>
    <row r="1100" spans="1:10" ht="16" x14ac:dyDescent="0.2">
      <c r="A1100" s="70"/>
      <c r="B1100" s="70"/>
      <c r="C1100" s="70"/>
      <c r="D1100" s="70"/>
      <c r="E1100" s="70"/>
      <c r="F1100" s="70"/>
      <c r="G1100" s="70"/>
      <c r="H1100" s="70"/>
      <c r="I1100" s="70"/>
      <c r="J1100" s="70"/>
    </row>
    <row r="1101" spans="1:10" ht="16" x14ac:dyDescent="0.2">
      <c r="A1101" s="70"/>
      <c r="B1101" s="70"/>
      <c r="C1101" s="70"/>
      <c r="D1101" s="70"/>
      <c r="E1101" s="70"/>
      <c r="F1101" s="70"/>
      <c r="G1101" s="70"/>
      <c r="H1101" s="70"/>
      <c r="I1101" s="70"/>
      <c r="J1101" s="70"/>
    </row>
    <row r="1102" spans="1:10" ht="16" x14ac:dyDescent="0.2">
      <c r="A1102" s="70"/>
      <c r="B1102" s="70"/>
      <c r="C1102" s="70"/>
      <c r="D1102" s="70"/>
      <c r="E1102" s="70"/>
      <c r="F1102" s="70"/>
      <c r="G1102" s="70"/>
      <c r="H1102" s="70"/>
      <c r="I1102" s="70"/>
      <c r="J1102" s="70"/>
    </row>
    <row r="1103" spans="1:10" ht="16" x14ac:dyDescent="0.2">
      <c r="A1103" s="70"/>
      <c r="B1103" s="70"/>
      <c r="C1103" s="70"/>
      <c r="D1103" s="70"/>
      <c r="E1103" s="70"/>
      <c r="F1103" s="70"/>
      <c r="G1103" s="70"/>
      <c r="H1103" s="70"/>
      <c r="I1103" s="70"/>
      <c r="J1103" s="70"/>
    </row>
    <row r="1104" spans="1:10" ht="16" x14ac:dyDescent="0.2">
      <c r="A1104" s="70"/>
      <c r="B1104" s="70"/>
      <c r="C1104" s="70"/>
      <c r="D1104" s="70"/>
      <c r="E1104" s="70"/>
      <c r="F1104" s="70"/>
      <c r="G1104" s="70"/>
      <c r="H1104" s="70"/>
      <c r="I1104" s="70"/>
      <c r="J1104" s="70"/>
    </row>
    <row r="1105" spans="1:10" ht="16" x14ac:dyDescent="0.2">
      <c r="A1105" s="70"/>
      <c r="B1105" s="70"/>
      <c r="C1105" s="70"/>
      <c r="D1105" s="70"/>
      <c r="E1105" s="70"/>
      <c r="F1105" s="70"/>
      <c r="G1105" s="70"/>
      <c r="H1105" s="70"/>
      <c r="I1105" s="70"/>
      <c r="J1105" s="70"/>
    </row>
    <row r="1106" spans="1:10" ht="16" x14ac:dyDescent="0.2">
      <c r="A1106" s="70"/>
      <c r="B1106" s="70"/>
      <c r="C1106" s="70"/>
      <c r="D1106" s="70"/>
      <c r="E1106" s="70"/>
      <c r="F1106" s="70"/>
      <c r="G1106" s="70"/>
      <c r="H1106" s="70"/>
      <c r="I1106" s="70"/>
      <c r="J1106" s="70"/>
    </row>
    <row r="1107" spans="1:10" ht="16" x14ac:dyDescent="0.2">
      <c r="A1107" s="70"/>
      <c r="B1107" s="70"/>
      <c r="C1107" s="70"/>
      <c r="D1107" s="70"/>
      <c r="E1107" s="70"/>
      <c r="F1107" s="70"/>
      <c r="G1107" s="70"/>
      <c r="H1107" s="70"/>
      <c r="I1107" s="70"/>
      <c r="J1107" s="70"/>
    </row>
    <row r="1108" spans="1:10" ht="16" x14ac:dyDescent="0.2">
      <c r="A1108" s="70"/>
      <c r="B1108" s="70"/>
      <c r="C1108" s="70"/>
      <c r="D1108" s="70"/>
      <c r="E1108" s="70"/>
      <c r="F1108" s="70"/>
      <c r="G1108" s="70"/>
      <c r="H1108" s="70"/>
      <c r="I1108" s="70"/>
      <c r="J1108" s="70"/>
    </row>
    <row r="1109" spans="1:10" ht="16" x14ac:dyDescent="0.2">
      <c r="A1109" s="70"/>
      <c r="B1109" s="70"/>
      <c r="C1109" s="70"/>
      <c r="D1109" s="70"/>
      <c r="E1109" s="70"/>
      <c r="F1109" s="70"/>
      <c r="G1109" s="70"/>
      <c r="H1109" s="70"/>
      <c r="I1109" s="70"/>
      <c r="J1109" s="70"/>
    </row>
    <row r="1110" spans="1:10" ht="16" x14ac:dyDescent="0.2">
      <c r="A1110" s="70"/>
      <c r="B1110" s="70"/>
      <c r="C1110" s="70"/>
      <c r="D1110" s="70"/>
      <c r="E1110" s="70"/>
      <c r="F1110" s="70"/>
      <c r="G1110" s="70"/>
      <c r="H1110" s="70"/>
      <c r="I1110" s="70"/>
      <c r="J1110" s="70"/>
    </row>
    <row r="1111" spans="1:10" ht="16" x14ac:dyDescent="0.2">
      <c r="A1111" s="70"/>
      <c r="B1111" s="70"/>
      <c r="C1111" s="70"/>
      <c r="D1111" s="70"/>
      <c r="E1111" s="70"/>
      <c r="F1111" s="70"/>
      <c r="G1111" s="70"/>
      <c r="H1111" s="70"/>
      <c r="I1111" s="70"/>
      <c r="J1111" s="70"/>
    </row>
    <row r="1112" spans="1:10" ht="16" x14ac:dyDescent="0.2">
      <c r="A1112" s="70"/>
      <c r="B1112" s="70"/>
      <c r="C1112" s="70"/>
      <c r="D1112" s="70"/>
      <c r="E1112" s="70"/>
      <c r="F1112" s="70"/>
      <c r="G1112" s="70"/>
      <c r="H1112" s="70"/>
      <c r="I1112" s="70"/>
      <c r="J1112" s="70"/>
    </row>
    <row r="1113" spans="1:10" ht="16" x14ac:dyDescent="0.2">
      <c r="A1113" s="70"/>
      <c r="B1113" s="70"/>
      <c r="C1113" s="70"/>
      <c r="D1113" s="70"/>
      <c r="E1113" s="70"/>
      <c r="F1113" s="70"/>
      <c r="G1113" s="70"/>
      <c r="H1113" s="70"/>
      <c r="I1113" s="70"/>
      <c r="J1113" s="70"/>
    </row>
    <row r="1114" spans="1:10" ht="16" x14ac:dyDescent="0.2">
      <c r="A1114" s="70"/>
      <c r="B1114" s="70"/>
      <c r="C1114" s="70"/>
      <c r="D1114" s="70"/>
      <c r="E1114" s="70"/>
      <c r="F1114" s="70"/>
      <c r="G1114" s="70"/>
      <c r="H1114" s="70"/>
      <c r="I1114" s="70"/>
      <c r="J1114" s="70"/>
    </row>
    <row r="1115" spans="1:10" ht="16" x14ac:dyDescent="0.2">
      <c r="A1115" s="70"/>
      <c r="B1115" s="70"/>
      <c r="C1115" s="70"/>
      <c r="D1115" s="70"/>
      <c r="E1115" s="70"/>
      <c r="F1115" s="70"/>
      <c r="G1115" s="70"/>
      <c r="H1115" s="70"/>
      <c r="I1115" s="70"/>
      <c r="J1115" s="70"/>
    </row>
    <row r="1116" spans="1:10" ht="16" x14ac:dyDescent="0.2">
      <c r="A1116" s="70"/>
      <c r="B1116" s="70"/>
      <c r="C1116" s="70"/>
      <c r="D1116" s="70"/>
      <c r="E1116" s="70"/>
      <c r="F1116" s="70"/>
      <c r="G1116" s="70"/>
      <c r="H1116" s="70"/>
      <c r="I1116" s="70"/>
      <c r="J1116" s="70"/>
    </row>
    <row r="1117" spans="1:10" ht="16" x14ac:dyDescent="0.2">
      <c r="A1117" s="70"/>
      <c r="B1117" s="70"/>
      <c r="C1117" s="70"/>
      <c r="D1117" s="70"/>
      <c r="E1117" s="70"/>
      <c r="F1117" s="70"/>
      <c r="G1117" s="70"/>
      <c r="H1117" s="70"/>
      <c r="I1117" s="70"/>
      <c r="J1117" s="70"/>
    </row>
    <row r="1118" spans="1:10" ht="16" x14ac:dyDescent="0.2">
      <c r="A1118" s="70"/>
      <c r="B1118" s="70"/>
      <c r="C1118" s="70"/>
      <c r="D1118" s="70"/>
      <c r="E1118" s="70"/>
      <c r="F1118" s="70"/>
      <c r="G1118" s="70"/>
      <c r="H1118" s="70"/>
      <c r="I1118" s="70"/>
      <c r="J1118" s="70"/>
    </row>
    <row r="1119" spans="1:10" ht="16" x14ac:dyDescent="0.2">
      <c r="A1119" s="70"/>
      <c r="B1119" s="70"/>
      <c r="C1119" s="70"/>
      <c r="D1119" s="70"/>
      <c r="E1119" s="70"/>
      <c r="F1119" s="70"/>
      <c r="G1119" s="70"/>
      <c r="H1119" s="70"/>
      <c r="I1119" s="70"/>
      <c r="J1119" s="70"/>
    </row>
    <row r="1120" spans="1:10" ht="16" x14ac:dyDescent="0.2">
      <c r="A1120" s="70"/>
      <c r="B1120" s="70"/>
      <c r="C1120" s="70"/>
      <c r="D1120" s="70"/>
      <c r="E1120" s="70"/>
      <c r="F1120" s="70"/>
      <c r="G1120" s="70"/>
      <c r="H1120" s="70"/>
      <c r="I1120" s="70"/>
      <c r="J1120" s="70"/>
    </row>
    <row r="1121" spans="1:10" ht="16" x14ac:dyDescent="0.2">
      <c r="A1121" s="70"/>
      <c r="B1121" s="70"/>
      <c r="C1121" s="70"/>
      <c r="D1121" s="70"/>
      <c r="E1121" s="70"/>
      <c r="F1121" s="70"/>
      <c r="G1121" s="70"/>
      <c r="H1121" s="70"/>
      <c r="I1121" s="70"/>
      <c r="J1121" s="70"/>
    </row>
    <row r="1122" spans="1:10" ht="16" x14ac:dyDescent="0.2">
      <c r="A1122" s="70"/>
      <c r="B1122" s="70"/>
      <c r="C1122" s="70"/>
      <c r="D1122" s="70"/>
      <c r="E1122" s="70"/>
      <c r="F1122" s="70"/>
      <c r="G1122" s="70"/>
      <c r="H1122" s="70"/>
      <c r="I1122" s="70"/>
      <c r="J1122" s="70"/>
    </row>
    <row r="1123" spans="1:10" ht="16" x14ac:dyDescent="0.2">
      <c r="A1123" s="70"/>
      <c r="B1123" s="70"/>
      <c r="C1123" s="70"/>
      <c r="D1123" s="70"/>
      <c r="E1123" s="70"/>
      <c r="F1123" s="70"/>
      <c r="G1123" s="70"/>
      <c r="H1123" s="70"/>
      <c r="I1123" s="70"/>
      <c r="J1123" s="70"/>
    </row>
    <row r="1124" spans="1:10" ht="16" x14ac:dyDescent="0.2">
      <c r="A1124" s="70"/>
      <c r="B1124" s="70"/>
      <c r="C1124" s="70"/>
      <c r="D1124" s="70"/>
      <c r="E1124" s="70"/>
      <c r="F1124" s="70"/>
      <c r="G1124" s="70"/>
      <c r="H1124" s="70"/>
      <c r="I1124" s="70"/>
      <c r="J1124" s="70"/>
    </row>
    <row r="1125" spans="1:10" ht="16" x14ac:dyDescent="0.2">
      <c r="A1125" s="70"/>
      <c r="B1125" s="70"/>
      <c r="C1125" s="70"/>
      <c r="D1125" s="70"/>
      <c r="E1125" s="70"/>
      <c r="F1125" s="70"/>
      <c r="G1125" s="70"/>
      <c r="H1125" s="70"/>
      <c r="I1125" s="70"/>
      <c r="J1125" s="70"/>
    </row>
    <row r="1126" spans="1:10" ht="16" x14ac:dyDescent="0.2">
      <c r="A1126" s="70"/>
      <c r="B1126" s="70"/>
      <c r="C1126" s="70"/>
      <c r="D1126" s="70"/>
      <c r="E1126" s="70"/>
      <c r="F1126" s="70"/>
      <c r="G1126" s="70"/>
      <c r="H1126" s="70"/>
      <c r="I1126" s="70"/>
      <c r="J1126" s="70"/>
    </row>
    <row r="1127" spans="1:10" ht="16" x14ac:dyDescent="0.2">
      <c r="A1127" s="70"/>
      <c r="B1127" s="70"/>
      <c r="C1127" s="70"/>
      <c r="D1127" s="70"/>
      <c r="E1127" s="70"/>
      <c r="F1127" s="70"/>
      <c r="G1127" s="70"/>
      <c r="H1127" s="70"/>
      <c r="I1127" s="70"/>
      <c r="J1127" s="70"/>
    </row>
    <row r="1128" spans="1:10" ht="16" x14ac:dyDescent="0.2">
      <c r="A1128" s="70"/>
      <c r="B1128" s="70"/>
      <c r="C1128" s="70"/>
      <c r="D1128" s="70"/>
      <c r="E1128" s="70"/>
      <c r="F1128" s="70"/>
      <c r="G1128" s="70"/>
      <c r="H1128" s="70"/>
      <c r="I1128" s="70"/>
      <c r="J1128" s="70"/>
    </row>
    <row r="1129" spans="1:10" ht="16" x14ac:dyDescent="0.2">
      <c r="A1129" s="70"/>
      <c r="B1129" s="70"/>
      <c r="C1129" s="70"/>
      <c r="D1129" s="70"/>
      <c r="E1129" s="70"/>
      <c r="F1129" s="70"/>
      <c r="G1129" s="70"/>
      <c r="H1129" s="70"/>
      <c r="I1129" s="70"/>
      <c r="J1129" s="70"/>
    </row>
    <row r="1130" spans="1:10" ht="16" x14ac:dyDescent="0.2">
      <c r="A1130" s="70"/>
      <c r="B1130" s="70"/>
      <c r="C1130" s="70"/>
      <c r="D1130" s="70"/>
      <c r="E1130" s="70"/>
      <c r="F1130" s="70"/>
      <c r="G1130" s="70"/>
      <c r="H1130" s="70"/>
      <c r="I1130" s="70"/>
      <c r="J1130" s="70"/>
    </row>
    <row r="1131" spans="1:10" ht="16" x14ac:dyDescent="0.2">
      <c r="A1131" s="70"/>
      <c r="B1131" s="70"/>
      <c r="C1131" s="70"/>
      <c r="D1131" s="70"/>
      <c r="E1131" s="70"/>
      <c r="F1131" s="70"/>
      <c r="G1131" s="70"/>
      <c r="H1131" s="70"/>
      <c r="I1131" s="70"/>
      <c r="J1131" s="70"/>
    </row>
    <row r="1132" spans="1:10" ht="16" x14ac:dyDescent="0.2">
      <c r="A1132" s="70"/>
      <c r="B1132" s="70"/>
      <c r="C1132" s="70"/>
      <c r="D1132" s="70"/>
      <c r="E1132" s="70"/>
      <c r="F1132" s="70"/>
      <c r="G1132" s="70"/>
      <c r="H1132" s="70"/>
      <c r="I1132" s="70"/>
      <c r="J1132" s="70"/>
    </row>
    <row r="1133" spans="1:10" ht="16" x14ac:dyDescent="0.2">
      <c r="A1133" s="70"/>
      <c r="B1133" s="70"/>
      <c r="C1133" s="70"/>
      <c r="D1133" s="70"/>
      <c r="E1133" s="70"/>
      <c r="F1133" s="70"/>
      <c r="G1133" s="70"/>
      <c r="H1133" s="70"/>
      <c r="I1133" s="70"/>
      <c r="J1133" s="70"/>
    </row>
    <row r="1134" spans="1:10" ht="16" x14ac:dyDescent="0.2">
      <c r="A1134" s="70"/>
      <c r="B1134" s="70"/>
      <c r="C1134" s="70"/>
      <c r="D1134" s="70"/>
      <c r="E1134" s="70"/>
      <c r="F1134" s="70"/>
      <c r="G1134" s="70"/>
      <c r="H1134" s="70"/>
      <c r="I1134" s="70"/>
      <c r="J1134" s="70"/>
    </row>
    <row r="1135" spans="1:10" ht="16" x14ac:dyDescent="0.2">
      <c r="A1135" s="70"/>
      <c r="B1135" s="70"/>
      <c r="C1135" s="70"/>
      <c r="D1135" s="70"/>
      <c r="E1135" s="70"/>
      <c r="F1135" s="70"/>
      <c r="G1135" s="70"/>
      <c r="H1135" s="70"/>
      <c r="I1135" s="70"/>
      <c r="J1135" s="70"/>
    </row>
    <row r="1136" spans="1:10" ht="16" x14ac:dyDescent="0.2">
      <c r="A1136" s="70"/>
      <c r="B1136" s="70"/>
      <c r="C1136" s="70"/>
      <c r="D1136" s="70"/>
      <c r="E1136" s="70"/>
      <c r="F1136" s="70"/>
      <c r="G1136" s="70"/>
      <c r="H1136" s="70"/>
      <c r="I1136" s="70"/>
      <c r="J1136" s="70"/>
    </row>
    <row r="1137" spans="1:10" ht="16" x14ac:dyDescent="0.2">
      <c r="A1137" s="70"/>
      <c r="B1137" s="70"/>
      <c r="C1137" s="70"/>
      <c r="D1137" s="70"/>
      <c r="E1137" s="70"/>
      <c r="F1137" s="70"/>
      <c r="G1137" s="70"/>
      <c r="H1137" s="70"/>
      <c r="I1137" s="70"/>
      <c r="J1137" s="70"/>
    </row>
    <row r="1138" spans="1:10" ht="16" x14ac:dyDescent="0.2">
      <c r="A1138" s="70"/>
      <c r="B1138" s="70"/>
      <c r="C1138" s="70"/>
      <c r="D1138" s="70"/>
      <c r="E1138" s="70"/>
      <c r="F1138" s="70"/>
      <c r="G1138" s="70"/>
      <c r="H1138" s="70"/>
      <c r="I1138" s="70"/>
      <c r="J1138" s="70"/>
    </row>
    <row r="1139" spans="1:10" ht="16" x14ac:dyDescent="0.2">
      <c r="A1139" s="70"/>
      <c r="B1139" s="70"/>
      <c r="C1139" s="70"/>
      <c r="D1139" s="70"/>
      <c r="E1139" s="70"/>
      <c r="F1139" s="70"/>
      <c r="G1139" s="70"/>
      <c r="H1139" s="70"/>
      <c r="I1139" s="70"/>
      <c r="J1139" s="70"/>
    </row>
    <row r="1140" spans="1:10" ht="16" x14ac:dyDescent="0.2">
      <c r="A1140" s="70"/>
      <c r="B1140" s="70"/>
      <c r="C1140" s="70"/>
      <c r="D1140" s="70"/>
      <c r="E1140" s="70"/>
      <c r="F1140" s="70"/>
      <c r="G1140" s="70"/>
      <c r="H1140" s="70"/>
      <c r="I1140" s="70"/>
      <c r="J1140" s="70"/>
    </row>
    <row r="1141" spans="1:10" ht="16" x14ac:dyDescent="0.2">
      <c r="A1141" s="70"/>
      <c r="B1141" s="70"/>
      <c r="C1141" s="70"/>
      <c r="D1141" s="70"/>
      <c r="E1141" s="70"/>
      <c r="F1141" s="70"/>
      <c r="G1141" s="70"/>
      <c r="H1141" s="70"/>
      <c r="I1141" s="70"/>
      <c r="J1141" s="70"/>
    </row>
    <row r="1142" spans="1:10" ht="16" x14ac:dyDescent="0.2">
      <c r="A1142" s="70"/>
      <c r="B1142" s="70"/>
      <c r="C1142" s="70"/>
      <c r="D1142" s="70"/>
      <c r="E1142" s="70"/>
      <c r="F1142" s="70"/>
      <c r="G1142" s="70"/>
      <c r="H1142" s="70"/>
      <c r="I1142" s="70"/>
      <c r="J1142" s="70"/>
    </row>
    <row r="1143" spans="1:10" ht="16" x14ac:dyDescent="0.2">
      <c r="A1143" s="70"/>
      <c r="B1143" s="70"/>
      <c r="C1143" s="70"/>
      <c r="D1143" s="70"/>
      <c r="E1143" s="70"/>
      <c r="F1143" s="70"/>
      <c r="G1143" s="70"/>
      <c r="H1143" s="70"/>
      <c r="I1143" s="70"/>
      <c r="J1143" s="70"/>
    </row>
    <row r="1144" spans="1:10" ht="16" x14ac:dyDescent="0.2">
      <c r="A1144" s="70"/>
      <c r="B1144" s="70"/>
      <c r="C1144" s="70"/>
      <c r="D1144" s="70"/>
      <c r="E1144" s="70"/>
      <c r="F1144" s="70"/>
      <c r="G1144" s="70"/>
      <c r="H1144" s="70"/>
      <c r="I1144" s="70"/>
      <c r="J1144" s="70"/>
    </row>
    <row r="1145" spans="1:10" ht="16" x14ac:dyDescent="0.2">
      <c r="A1145" s="70"/>
      <c r="B1145" s="70"/>
      <c r="C1145" s="70"/>
      <c r="D1145" s="70"/>
      <c r="E1145" s="70"/>
      <c r="F1145" s="70"/>
      <c r="G1145" s="70"/>
      <c r="H1145" s="70"/>
      <c r="I1145" s="70"/>
      <c r="J1145" s="70"/>
    </row>
    <row r="1146" spans="1:10" ht="16" x14ac:dyDescent="0.2">
      <c r="A1146" s="70"/>
      <c r="B1146" s="70"/>
      <c r="C1146" s="70"/>
      <c r="D1146" s="70"/>
      <c r="E1146" s="70"/>
      <c r="F1146" s="70"/>
      <c r="G1146" s="70"/>
      <c r="H1146" s="70"/>
      <c r="I1146" s="70"/>
      <c r="J1146" s="70"/>
    </row>
    <row r="1147" spans="1:10" ht="16" x14ac:dyDescent="0.2">
      <c r="A1147" s="70"/>
      <c r="B1147" s="70"/>
      <c r="C1147" s="70"/>
      <c r="D1147" s="70"/>
      <c r="E1147" s="70"/>
      <c r="F1147" s="70"/>
      <c r="G1147" s="70"/>
      <c r="H1147" s="70"/>
      <c r="I1147" s="70"/>
      <c r="J1147" s="70"/>
    </row>
    <row r="1148" spans="1:10" ht="16" x14ac:dyDescent="0.2">
      <c r="A1148" s="70"/>
      <c r="B1148" s="70"/>
      <c r="C1148" s="70"/>
      <c r="D1148" s="70"/>
      <c r="E1148" s="70"/>
      <c r="F1148" s="70"/>
      <c r="G1148" s="70"/>
      <c r="H1148" s="70"/>
      <c r="I1148" s="70"/>
      <c r="J1148" s="70"/>
    </row>
    <row r="1149" spans="1:10" ht="16" x14ac:dyDescent="0.2">
      <c r="A1149" s="70"/>
      <c r="B1149" s="70"/>
      <c r="C1149" s="70"/>
      <c r="D1149" s="70"/>
      <c r="E1149" s="70"/>
      <c r="F1149" s="70"/>
      <c r="G1149" s="70"/>
      <c r="H1149" s="70"/>
      <c r="I1149" s="70"/>
      <c r="J1149" s="70"/>
    </row>
    <row r="1150" spans="1:10" ht="16" x14ac:dyDescent="0.2">
      <c r="A1150" s="70"/>
      <c r="B1150" s="70"/>
      <c r="C1150" s="70"/>
      <c r="D1150" s="70"/>
      <c r="E1150" s="70"/>
      <c r="F1150" s="70"/>
      <c r="G1150" s="70"/>
      <c r="H1150" s="70"/>
      <c r="I1150" s="70"/>
      <c r="J1150" s="70"/>
    </row>
    <row r="1151" spans="1:10" ht="16" x14ac:dyDescent="0.2">
      <c r="A1151" s="70"/>
      <c r="B1151" s="70"/>
      <c r="C1151" s="70"/>
      <c r="D1151" s="70"/>
      <c r="E1151" s="70"/>
      <c r="F1151" s="70"/>
      <c r="G1151" s="70"/>
      <c r="H1151" s="70"/>
      <c r="I1151" s="70"/>
      <c r="J1151" s="70"/>
    </row>
    <row r="1152" spans="1:10" ht="16" x14ac:dyDescent="0.2">
      <c r="A1152" s="70"/>
      <c r="B1152" s="70"/>
      <c r="C1152" s="70"/>
      <c r="D1152" s="70"/>
      <c r="E1152" s="70"/>
      <c r="F1152" s="70"/>
      <c r="G1152" s="70"/>
      <c r="H1152" s="70"/>
      <c r="I1152" s="70"/>
      <c r="J1152" s="70"/>
    </row>
    <row r="1153" spans="1:10" ht="16" x14ac:dyDescent="0.2">
      <c r="A1153" s="70"/>
      <c r="B1153" s="70"/>
      <c r="C1153" s="70"/>
      <c r="D1153" s="70"/>
      <c r="E1153" s="70"/>
      <c r="F1153" s="70"/>
      <c r="G1153" s="70"/>
      <c r="H1153" s="70"/>
      <c r="I1153" s="70"/>
      <c r="J1153" s="70"/>
    </row>
    <row r="1154" spans="1:10" ht="16" x14ac:dyDescent="0.2">
      <c r="A1154" s="70"/>
      <c r="B1154" s="70"/>
      <c r="C1154" s="70"/>
      <c r="D1154" s="70"/>
      <c r="E1154" s="70"/>
      <c r="F1154" s="70"/>
      <c r="G1154" s="70"/>
      <c r="H1154" s="70"/>
      <c r="I1154" s="70"/>
      <c r="J1154" s="70"/>
    </row>
    <row r="1155" spans="1:10" ht="16" x14ac:dyDescent="0.2">
      <c r="A1155" s="70"/>
      <c r="B1155" s="70"/>
      <c r="C1155" s="70"/>
      <c r="D1155" s="70"/>
      <c r="E1155" s="70"/>
      <c r="F1155" s="70"/>
      <c r="G1155" s="70"/>
      <c r="H1155" s="70"/>
      <c r="I1155" s="70"/>
      <c r="J1155" s="70"/>
    </row>
    <row r="1156" spans="1:10" ht="16" x14ac:dyDescent="0.2">
      <c r="A1156" s="70"/>
      <c r="B1156" s="70"/>
      <c r="C1156" s="70"/>
      <c r="D1156" s="70"/>
      <c r="E1156" s="70"/>
      <c r="F1156" s="70"/>
      <c r="G1156" s="70"/>
      <c r="H1156" s="70"/>
      <c r="I1156" s="70"/>
      <c r="J1156" s="70"/>
    </row>
    <row r="1157" spans="1:10" ht="16" x14ac:dyDescent="0.2">
      <c r="A1157" s="70"/>
      <c r="B1157" s="70"/>
      <c r="C1157" s="70"/>
      <c r="D1157" s="70"/>
      <c r="E1157" s="70"/>
      <c r="F1157" s="70"/>
      <c r="G1157" s="70"/>
      <c r="H1157" s="70"/>
      <c r="I1157" s="70"/>
      <c r="J1157" s="70"/>
    </row>
    <row r="1158" spans="1:10" ht="16" x14ac:dyDescent="0.2">
      <c r="A1158" s="70"/>
      <c r="B1158" s="70"/>
      <c r="C1158" s="70"/>
      <c r="D1158" s="70"/>
      <c r="E1158" s="70"/>
      <c r="F1158" s="70"/>
      <c r="G1158" s="70"/>
      <c r="H1158" s="70"/>
      <c r="I1158" s="70"/>
      <c r="J1158" s="70"/>
    </row>
    <row r="1159" spans="1:10" ht="16" x14ac:dyDescent="0.2">
      <c r="A1159" s="70"/>
      <c r="B1159" s="70"/>
      <c r="C1159" s="70"/>
      <c r="D1159" s="70"/>
      <c r="E1159" s="70"/>
      <c r="F1159" s="70"/>
      <c r="G1159" s="70"/>
      <c r="H1159" s="70"/>
      <c r="I1159" s="70"/>
      <c r="J1159" s="70"/>
    </row>
    <row r="1160" spans="1:10" ht="16" x14ac:dyDescent="0.2">
      <c r="A1160" s="70"/>
      <c r="B1160" s="70"/>
      <c r="C1160" s="70"/>
      <c r="D1160" s="70"/>
      <c r="E1160" s="70"/>
      <c r="F1160" s="70"/>
      <c r="G1160" s="70"/>
      <c r="H1160" s="70"/>
      <c r="I1160" s="70"/>
      <c r="J1160" s="70"/>
    </row>
    <row r="1161" spans="1:10" ht="16" x14ac:dyDescent="0.2">
      <c r="A1161" s="70"/>
      <c r="B1161" s="70"/>
      <c r="C1161" s="70"/>
      <c r="D1161" s="70"/>
      <c r="E1161" s="70"/>
      <c r="F1161" s="70"/>
      <c r="G1161" s="70"/>
      <c r="H1161" s="70"/>
      <c r="I1161" s="70"/>
      <c r="J1161" s="70"/>
    </row>
    <row r="1162" spans="1:10" ht="16" x14ac:dyDescent="0.2">
      <c r="A1162" s="70"/>
      <c r="B1162" s="70"/>
      <c r="C1162" s="70"/>
      <c r="D1162" s="70"/>
      <c r="E1162" s="70"/>
      <c r="F1162" s="70"/>
      <c r="G1162" s="70"/>
      <c r="H1162" s="70"/>
      <c r="I1162" s="70"/>
      <c r="J1162" s="70"/>
    </row>
    <row r="1163" spans="1:10" ht="16" x14ac:dyDescent="0.2">
      <c r="A1163" s="70"/>
      <c r="B1163" s="70"/>
      <c r="C1163" s="70"/>
      <c r="D1163" s="70"/>
      <c r="E1163" s="70"/>
      <c r="F1163" s="70"/>
      <c r="G1163" s="70"/>
      <c r="H1163" s="70"/>
      <c r="I1163" s="70"/>
      <c r="J1163" s="70"/>
    </row>
    <row r="1164" spans="1:10" ht="16" x14ac:dyDescent="0.2">
      <c r="A1164" s="70"/>
      <c r="B1164" s="70"/>
      <c r="C1164" s="70"/>
      <c r="D1164" s="70"/>
      <c r="E1164" s="70"/>
      <c r="F1164" s="70"/>
      <c r="G1164" s="70"/>
      <c r="H1164" s="70"/>
      <c r="I1164" s="70"/>
      <c r="J1164" s="70"/>
    </row>
    <row r="1165" spans="1:10" ht="16" x14ac:dyDescent="0.2">
      <c r="A1165" s="70"/>
      <c r="B1165" s="70"/>
      <c r="C1165" s="70"/>
      <c r="D1165" s="70"/>
      <c r="E1165" s="70"/>
      <c r="F1165" s="70"/>
      <c r="G1165" s="70"/>
      <c r="H1165" s="70"/>
      <c r="I1165" s="70"/>
      <c r="J1165" s="70"/>
    </row>
    <row r="1166" spans="1:10" ht="16" x14ac:dyDescent="0.2">
      <c r="A1166" s="70"/>
      <c r="B1166" s="70"/>
      <c r="C1166" s="70"/>
      <c r="D1166" s="70"/>
      <c r="E1166" s="70"/>
      <c r="F1166" s="70"/>
      <c r="G1166" s="70"/>
      <c r="H1166" s="70"/>
      <c r="I1166" s="70"/>
      <c r="J1166" s="70"/>
    </row>
    <row r="1167" spans="1:10" ht="16" x14ac:dyDescent="0.2">
      <c r="A1167" s="70"/>
      <c r="B1167" s="70"/>
      <c r="C1167" s="70"/>
      <c r="D1167" s="70"/>
      <c r="E1167" s="70"/>
      <c r="F1167" s="70"/>
      <c r="G1167" s="70"/>
      <c r="H1167" s="70"/>
      <c r="I1167" s="70"/>
      <c r="J1167" s="70"/>
    </row>
    <row r="1168" spans="1:10" ht="16" x14ac:dyDescent="0.2">
      <c r="A1168" s="70"/>
      <c r="B1168" s="70"/>
      <c r="C1168" s="70"/>
      <c r="D1168" s="70"/>
      <c r="E1168" s="70"/>
      <c r="F1168" s="70"/>
      <c r="G1168" s="70"/>
      <c r="H1168" s="70"/>
      <c r="I1168" s="70"/>
      <c r="J1168" s="70"/>
    </row>
    <row r="1169" spans="1:10" ht="16" x14ac:dyDescent="0.2">
      <c r="A1169" s="70"/>
      <c r="B1169" s="70"/>
      <c r="C1169" s="70"/>
      <c r="D1169" s="70"/>
      <c r="E1169" s="70"/>
      <c r="F1169" s="70"/>
      <c r="G1169" s="70"/>
      <c r="H1169" s="70"/>
      <c r="I1169" s="70"/>
      <c r="J1169" s="70"/>
    </row>
    <row r="1170" spans="1:10" ht="16" x14ac:dyDescent="0.2">
      <c r="A1170" s="70"/>
      <c r="B1170" s="70"/>
      <c r="C1170" s="70"/>
      <c r="D1170" s="70"/>
      <c r="E1170" s="70"/>
      <c r="F1170" s="70"/>
      <c r="G1170" s="70"/>
      <c r="H1170" s="70"/>
      <c r="I1170" s="70"/>
      <c r="J1170" s="70"/>
    </row>
    <row r="1171" spans="1:10" ht="16" x14ac:dyDescent="0.2">
      <c r="A1171" s="70"/>
      <c r="B1171" s="70"/>
      <c r="C1171" s="70"/>
      <c r="D1171" s="70"/>
      <c r="E1171" s="70"/>
      <c r="F1171" s="70"/>
      <c r="G1171" s="70"/>
      <c r="H1171" s="70"/>
      <c r="I1171" s="70"/>
      <c r="J1171" s="70"/>
    </row>
    <row r="1172" spans="1:10" ht="16" x14ac:dyDescent="0.2">
      <c r="A1172" s="70"/>
      <c r="B1172" s="70"/>
      <c r="C1172" s="70"/>
      <c r="D1172" s="70"/>
      <c r="E1172" s="70"/>
      <c r="F1172" s="70"/>
      <c r="G1172" s="70"/>
      <c r="H1172" s="70"/>
      <c r="I1172" s="70"/>
      <c r="J1172" s="70"/>
    </row>
    <row r="1173" spans="1:10" ht="16" x14ac:dyDescent="0.2">
      <c r="A1173" s="70"/>
      <c r="B1173" s="70"/>
      <c r="C1173" s="70"/>
      <c r="D1173" s="70"/>
      <c r="E1173" s="70"/>
      <c r="F1173" s="70"/>
      <c r="G1173" s="70"/>
      <c r="H1173" s="70"/>
      <c r="I1173" s="70"/>
      <c r="J1173" s="70"/>
    </row>
    <row r="1174" spans="1:10" ht="16" x14ac:dyDescent="0.2">
      <c r="A1174" s="70"/>
      <c r="B1174" s="70"/>
      <c r="C1174" s="70"/>
      <c r="D1174" s="70"/>
      <c r="E1174" s="70"/>
      <c r="F1174" s="70"/>
      <c r="G1174" s="70"/>
      <c r="H1174" s="70"/>
      <c r="I1174" s="70"/>
      <c r="J1174" s="70"/>
    </row>
    <row r="1175" spans="1:10" ht="16" x14ac:dyDescent="0.2">
      <c r="A1175" s="70"/>
      <c r="B1175" s="70"/>
      <c r="C1175" s="70"/>
      <c r="D1175" s="70"/>
      <c r="E1175" s="70"/>
      <c r="F1175" s="70"/>
      <c r="G1175" s="70"/>
      <c r="H1175" s="70"/>
      <c r="I1175" s="70"/>
      <c r="J1175" s="70"/>
    </row>
    <row r="1176" spans="1:10" ht="16" x14ac:dyDescent="0.2">
      <c r="A1176" s="70"/>
      <c r="B1176" s="70"/>
      <c r="C1176" s="70"/>
      <c r="D1176" s="70"/>
      <c r="E1176" s="70"/>
      <c r="F1176" s="70"/>
      <c r="G1176" s="70"/>
      <c r="H1176" s="70"/>
      <c r="I1176" s="70"/>
      <c r="J1176" s="70"/>
    </row>
    <row r="1177" spans="1:10" ht="16" x14ac:dyDescent="0.2">
      <c r="A1177" s="70"/>
      <c r="B1177" s="70"/>
      <c r="C1177" s="70"/>
      <c r="D1177" s="70"/>
      <c r="E1177" s="70"/>
      <c r="F1177" s="70"/>
      <c r="G1177" s="70"/>
      <c r="H1177" s="70"/>
      <c r="I1177" s="70"/>
      <c r="J1177" s="70"/>
    </row>
    <row r="1178" spans="1:10" ht="16" x14ac:dyDescent="0.2">
      <c r="A1178" s="70"/>
      <c r="B1178" s="70"/>
      <c r="C1178" s="70"/>
      <c r="D1178" s="70"/>
      <c r="E1178" s="70"/>
      <c r="F1178" s="70"/>
      <c r="G1178" s="70"/>
      <c r="H1178" s="70"/>
      <c r="I1178" s="70"/>
      <c r="J1178" s="70"/>
    </row>
    <row r="1179" spans="1:10" ht="16" x14ac:dyDescent="0.2">
      <c r="A1179" s="70"/>
      <c r="B1179" s="70"/>
      <c r="C1179" s="70"/>
      <c r="D1179" s="70"/>
      <c r="E1179" s="70"/>
      <c r="F1179" s="70"/>
      <c r="G1179" s="70"/>
      <c r="H1179" s="70"/>
      <c r="I1179" s="70"/>
      <c r="J1179" s="70"/>
    </row>
    <row r="1180" spans="1:10" ht="16" x14ac:dyDescent="0.2">
      <c r="A1180" s="70"/>
      <c r="B1180" s="70"/>
      <c r="C1180" s="70"/>
      <c r="D1180" s="70"/>
      <c r="E1180" s="70"/>
      <c r="F1180" s="70"/>
      <c r="G1180" s="70"/>
      <c r="H1180" s="70"/>
      <c r="I1180" s="70"/>
      <c r="J1180" s="70"/>
    </row>
    <row r="1181" spans="1:10" ht="16" x14ac:dyDescent="0.2">
      <c r="A1181" s="70"/>
      <c r="B1181" s="70"/>
      <c r="C1181" s="70"/>
      <c r="D1181" s="70"/>
      <c r="E1181" s="70"/>
      <c r="F1181" s="70"/>
      <c r="G1181" s="70"/>
      <c r="H1181" s="70"/>
      <c r="I1181" s="70"/>
      <c r="J1181" s="70"/>
    </row>
    <row r="1182" spans="1:10" ht="16" x14ac:dyDescent="0.2">
      <c r="A1182" s="70"/>
      <c r="B1182" s="70"/>
      <c r="C1182" s="70"/>
      <c r="D1182" s="70"/>
      <c r="E1182" s="70"/>
      <c r="F1182" s="70"/>
      <c r="G1182" s="70"/>
      <c r="H1182" s="70"/>
      <c r="I1182" s="70"/>
      <c r="J1182" s="70"/>
    </row>
    <row r="1183" spans="1:10" ht="16" x14ac:dyDescent="0.2">
      <c r="A1183" s="70"/>
      <c r="B1183" s="70"/>
      <c r="C1183" s="70"/>
      <c r="D1183" s="70"/>
      <c r="E1183" s="70"/>
      <c r="F1183" s="70"/>
      <c r="G1183" s="70"/>
      <c r="H1183" s="70"/>
      <c r="I1183" s="70"/>
      <c r="J1183" s="70"/>
    </row>
    <row r="1184" spans="1:10" ht="16" x14ac:dyDescent="0.2">
      <c r="A1184" s="70"/>
      <c r="B1184" s="70"/>
      <c r="C1184" s="70"/>
      <c r="D1184" s="70"/>
      <c r="E1184" s="70"/>
      <c r="F1184" s="70"/>
      <c r="G1184" s="70"/>
      <c r="H1184" s="70"/>
      <c r="I1184" s="70"/>
      <c r="J1184" s="70"/>
    </row>
    <row r="1185" spans="1:10" ht="16" x14ac:dyDescent="0.2">
      <c r="A1185" s="70"/>
      <c r="B1185" s="70"/>
      <c r="C1185" s="70"/>
      <c r="D1185" s="70"/>
      <c r="E1185" s="70"/>
      <c r="F1185" s="70"/>
      <c r="G1185" s="70"/>
      <c r="H1185" s="70"/>
      <c r="I1185" s="70"/>
      <c r="J1185" s="70"/>
    </row>
    <row r="1186" spans="1:10" ht="16" x14ac:dyDescent="0.2">
      <c r="A1186" s="70"/>
      <c r="B1186" s="70"/>
      <c r="C1186" s="70"/>
      <c r="D1186" s="70"/>
      <c r="E1186" s="70"/>
      <c r="F1186" s="70"/>
      <c r="G1186" s="70"/>
      <c r="H1186" s="70"/>
      <c r="I1186" s="70"/>
      <c r="J1186" s="70"/>
    </row>
    <row r="1187" spans="1:10" ht="16" x14ac:dyDescent="0.2">
      <c r="A1187" s="70"/>
      <c r="B1187" s="70"/>
      <c r="C1187" s="70"/>
      <c r="D1187" s="70"/>
      <c r="E1187" s="70"/>
      <c r="F1187" s="70"/>
      <c r="G1187" s="70"/>
      <c r="H1187" s="70"/>
      <c r="I1187" s="70"/>
      <c r="J1187" s="70"/>
    </row>
    <row r="1188" spans="1:10" ht="16" x14ac:dyDescent="0.2">
      <c r="A1188" s="70"/>
      <c r="B1188" s="70"/>
      <c r="C1188" s="70"/>
      <c r="D1188" s="70"/>
      <c r="E1188" s="70"/>
      <c r="F1188" s="70"/>
      <c r="G1188" s="70"/>
      <c r="H1188" s="70"/>
      <c r="I1188" s="70"/>
      <c r="J1188" s="70"/>
    </row>
    <row r="1189" spans="1:10" ht="16" x14ac:dyDescent="0.2">
      <c r="A1189" s="70"/>
      <c r="B1189" s="70"/>
      <c r="C1189" s="70"/>
      <c r="D1189" s="70"/>
      <c r="E1189" s="70"/>
      <c r="F1189" s="70"/>
      <c r="G1189" s="70"/>
      <c r="H1189" s="70"/>
      <c r="I1189" s="70"/>
      <c r="J1189" s="70"/>
    </row>
    <row r="1190" spans="1:10" ht="16" x14ac:dyDescent="0.2">
      <c r="A1190" s="70"/>
      <c r="B1190" s="70"/>
      <c r="C1190" s="70"/>
      <c r="D1190" s="70"/>
      <c r="E1190" s="70"/>
      <c r="F1190" s="70"/>
      <c r="G1190" s="70"/>
      <c r="H1190" s="70"/>
      <c r="I1190" s="70"/>
      <c r="J1190" s="70"/>
    </row>
    <row r="1191" spans="1:10" ht="16" x14ac:dyDescent="0.2">
      <c r="A1191" s="70"/>
      <c r="B1191" s="70"/>
      <c r="C1191" s="70"/>
      <c r="D1191" s="70"/>
      <c r="E1191" s="70"/>
      <c r="F1191" s="70"/>
      <c r="G1191" s="70"/>
      <c r="H1191" s="70"/>
      <c r="I1191" s="70"/>
      <c r="J1191" s="70"/>
    </row>
    <row r="1192" spans="1:10" ht="16" x14ac:dyDescent="0.2">
      <c r="A1192" s="70"/>
      <c r="B1192" s="70"/>
      <c r="C1192" s="70"/>
      <c r="D1192" s="70"/>
      <c r="E1192" s="70"/>
      <c r="F1192" s="70"/>
      <c r="G1192" s="70"/>
      <c r="H1192" s="70"/>
      <c r="I1192" s="70"/>
      <c r="J1192" s="70"/>
    </row>
    <row r="1193" spans="1:10" ht="16" x14ac:dyDescent="0.2">
      <c r="A1193" s="70"/>
      <c r="B1193" s="70"/>
      <c r="C1193" s="70"/>
      <c r="D1193" s="70"/>
      <c r="E1193" s="70"/>
      <c r="F1193" s="70"/>
      <c r="G1193" s="70"/>
      <c r="H1193" s="70"/>
      <c r="I1193" s="70"/>
      <c r="J1193" s="70"/>
    </row>
    <row r="1194" spans="1:10" ht="16" x14ac:dyDescent="0.2">
      <c r="A1194" s="70"/>
      <c r="B1194" s="70"/>
      <c r="C1194" s="70"/>
      <c r="D1194" s="70"/>
      <c r="E1194" s="70"/>
      <c r="F1194" s="70"/>
      <c r="G1194" s="70"/>
      <c r="H1194" s="70"/>
      <c r="I1194" s="70"/>
      <c r="J1194" s="70"/>
    </row>
    <row r="1195" spans="1:10" ht="16" x14ac:dyDescent="0.2">
      <c r="A1195" s="70"/>
      <c r="B1195" s="70"/>
      <c r="C1195" s="70"/>
      <c r="D1195" s="70"/>
      <c r="E1195" s="70"/>
      <c r="F1195" s="70"/>
      <c r="G1195" s="70"/>
      <c r="H1195" s="70"/>
      <c r="I1195" s="70"/>
      <c r="J1195" s="70"/>
    </row>
    <row r="1196" spans="1:10" ht="16" x14ac:dyDescent="0.2">
      <c r="A1196" s="70"/>
      <c r="B1196" s="70"/>
      <c r="C1196" s="70"/>
      <c r="D1196" s="70"/>
      <c r="E1196" s="70"/>
      <c r="F1196" s="70"/>
      <c r="G1196" s="70"/>
      <c r="H1196" s="70"/>
      <c r="I1196" s="70"/>
      <c r="J1196" s="70"/>
    </row>
    <row r="1197" spans="1:10" ht="16" x14ac:dyDescent="0.2">
      <c r="A1197" s="70"/>
      <c r="B1197" s="70"/>
      <c r="C1197" s="70"/>
      <c r="D1197" s="70"/>
      <c r="E1197" s="70"/>
      <c r="F1197" s="70"/>
      <c r="G1197" s="70"/>
      <c r="H1197" s="70"/>
      <c r="I1197" s="70"/>
      <c r="J1197" s="70"/>
    </row>
    <row r="1198" spans="1:10" ht="16" x14ac:dyDescent="0.2">
      <c r="A1198" s="70"/>
      <c r="B1198" s="70"/>
      <c r="C1198" s="70"/>
      <c r="D1198" s="70"/>
      <c r="E1198" s="70"/>
      <c r="F1198" s="70"/>
      <c r="G1198" s="70"/>
      <c r="H1198" s="70"/>
      <c r="I1198" s="70"/>
      <c r="J1198" s="70"/>
    </row>
    <row r="1199" spans="1:10" ht="16" x14ac:dyDescent="0.2">
      <c r="A1199" s="70"/>
      <c r="B1199" s="70"/>
      <c r="C1199" s="70"/>
      <c r="D1199" s="70"/>
      <c r="E1199" s="70"/>
      <c r="F1199" s="70"/>
      <c r="G1199" s="70"/>
      <c r="H1199" s="70"/>
      <c r="I1199" s="70"/>
      <c r="J1199" s="70"/>
    </row>
    <row r="1200" spans="1:10" ht="16" x14ac:dyDescent="0.2">
      <c r="A1200" s="70"/>
      <c r="B1200" s="70"/>
      <c r="C1200" s="70"/>
      <c r="D1200" s="70"/>
      <c r="E1200" s="70"/>
      <c r="F1200" s="70"/>
      <c r="G1200" s="70"/>
      <c r="H1200" s="70"/>
      <c r="I1200" s="70"/>
      <c r="J1200" s="70"/>
    </row>
    <row r="1201" spans="1:10" ht="16" x14ac:dyDescent="0.2">
      <c r="A1201" s="70"/>
      <c r="B1201" s="70"/>
      <c r="C1201" s="70"/>
      <c r="D1201" s="70"/>
      <c r="E1201" s="70"/>
      <c r="F1201" s="70"/>
      <c r="G1201" s="70"/>
      <c r="H1201" s="70"/>
      <c r="I1201" s="70"/>
      <c r="J1201" s="70"/>
    </row>
    <row r="1202" spans="1:10" ht="16" x14ac:dyDescent="0.2">
      <c r="A1202" s="70"/>
      <c r="B1202" s="70"/>
      <c r="C1202" s="70"/>
      <c r="D1202" s="70"/>
      <c r="E1202" s="70"/>
      <c r="F1202" s="70"/>
      <c r="G1202" s="70"/>
      <c r="H1202" s="70"/>
      <c r="I1202" s="70"/>
      <c r="J1202" s="70"/>
    </row>
    <row r="1203" spans="1:10" ht="16" x14ac:dyDescent="0.2">
      <c r="A1203" s="70"/>
      <c r="B1203" s="70"/>
      <c r="C1203" s="70"/>
      <c r="D1203" s="70"/>
      <c r="E1203" s="70"/>
      <c r="F1203" s="70"/>
      <c r="G1203" s="70"/>
      <c r="H1203" s="70"/>
      <c r="I1203" s="70"/>
      <c r="J1203" s="70"/>
    </row>
    <row r="1204" spans="1:10" ht="16" x14ac:dyDescent="0.2">
      <c r="A1204" s="70"/>
      <c r="B1204" s="70"/>
      <c r="C1204" s="70"/>
      <c r="D1204" s="70"/>
      <c r="E1204" s="70"/>
      <c r="F1204" s="70"/>
      <c r="G1204" s="70"/>
      <c r="H1204" s="70"/>
      <c r="I1204" s="70"/>
      <c r="J1204" s="70"/>
    </row>
    <row r="1205" spans="1:10" ht="16" x14ac:dyDescent="0.2">
      <c r="A1205" s="70"/>
      <c r="B1205" s="70"/>
      <c r="C1205" s="70"/>
      <c r="D1205" s="70"/>
      <c r="E1205" s="70"/>
      <c r="F1205" s="70"/>
      <c r="G1205" s="70"/>
      <c r="H1205" s="70"/>
      <c r="I1205" s="70"/>
      <c r="J1205" s="70"/>
    </row>
    <row r="1206" spans="1:10" ht="16" x14ac:dyDescent="0.2">
      <c r="A1206" s="70"/>
      <c r="B1206" s="70"/>
      <c r="C1206" s="70"/>
      <c r="D1206" s="70"/>
      <c r="E1206" s="70"/>
      <c r="F1206" s="70"/>
      <c r="G1206" s="70"/>
      <c r="H1206" s="70"/>
      <c r="I1206" s="70"/>
      <c r="J1206" s="70"/>
    </row>
    <row r="1207" spans="1:10" ht="16" x14ac:dyDescent="0.2">
      <c r="A1207" s="70"/>
      <c r="B1207" s="70"/>
      <c r="C1207" s="70"/>
      <c r="D1207" s="70"/>
      <c r="E1207" s="70"/>
      <c r="F1207" s="70"/>
      <c r="G1207" s="70"/>
      <c r="H1207" s="70"/>
      <c r="I1207" s="70"/>
      <c r="J1207" s="70"/>
    </row>
    <row r="1208" spans="1:10" ht="16" x14ac:dyDescent="0.2">
      <c r="A1208" s="70"/>
      <c r="B1208" s="70"/>
      <c r="C1208" s="70"/>
      <c r="D1208" s="70"/>
      <c r="E1208" s="70"/>
      <c r="F1208" s="70"/>
      <c r="G1208" s="70"/>
      <c r="H1208" s="70"/>
      <c r="I1208" s="70"/>
      <c r="J1208" s="70"/>
    </row>
    <row r="1209" spans="1:10" ht="16" x14ac:dyDescent="0.2">
      <c r="A1209" s="70"/>
      <c r="B1209" s="70"/>
      <c r="C1209" s="70"/>
      <c r="D1209" s="70"/>
      <c r="E1209" s="70"/>
      <c r="F1209" s="70"/>
      <c r="G1209" s="70"/>
      <c r="H1209" s="70"/>
      <c r="I1209" s="70"/>
      <c r="J1209" s="70"/>
    </row>
    <row r="1210" spans="1:10" ht="16" x14ac:dyDescent="0.2">
      <c r="A1210" s="70"/>
      <c r="B1210" s="70"/>
      <c r="C1210" s="70"/>
      <c r="D1210" s="70"/>
      <c r="E1210" s="70"/>
      <c r="F1210" s="70"/>
      <c r="G1210" s="70"/>
      <c r="H1210" s="70"/>
      <c r="I1210" s="70"/>
      <c r="J1210" s="70"/>
    </row>
    <row r="1211" spans="1:10" ht="16" x14ac:dyDescent="0.2">
      <c r="A1211" s="70"/>
      <c r="B1211" s="70"/>
      <c r="C1211" s="70"/>
      <c r="D1211" s="70"/>
      <c r="E1211" s="70"/>
      <c r="F1211" s="70"/>
      <c r="G1211" s="70"/>
      <c r="H1211" s="70"/>
      <c r="I1211" s="70"/>
      <c r="J1211" s="70"/>
    </row>
    <row r="1212" spans="1:10" ht="16" x14ac:dyDescent="0.2">
      <c r="A1212" s="70"/>
      <c r="B1212" s="70"/>
      <c r="C1212" s="70"/>
      <c r="D1212" s="70"/>
      <c r="E1212" s="70"/>
      <c r="F1212" s="70"/>
      <c r="G1212" s="70"/>
      <c r="H1212" s="70"/>
      <c r="I1212" s="70"/>
      <c r="J1212" s="70"/>
    </row>
    <row r="1213" spans="1:10" ht="16" x14ac:dyDescent="0.2">
      <c r="A1213" s="70"/>
      <c r="B1213" s="70"/>
      <c r="C1213" s="70"/>
      <c r="D1213" s="70"/>
      <c r="E1213" s="70"/>
      <c r="F1213" s="70"/>
      <c r="G1213" s="70"/>
      <c r="H1213" s="70"/>
      <c r="I1213" s="70"/>
      <c r="J1213" s="70"/>
    </row>
    <row r="1214" spans="1:10" ht="16" x14ac:dyDescent="0.2">
      <c r="A1214" s="70"/>
      <c r="B1214" s="70"/>
      <c r="C1214" s="70"/>
      <c r="D1214" s="70"/>
      <c r="E1214" s="70"/>
      <c r="F1214" s="70"/>
      <c r="G1214" s="70"/>
      <c r="H1214" s="70"/>
      <c r="I1214" s="70"/>
      <c r="J1214" s="70"/>
    </row>
    <row r="1215" spans="1:10" ht="16" x14ac:dyDescent="0.2">
      <c r="A1215" s="70"/>
      <c r="B1215" s="70"/>
      <c r="C1215" s="70"/>
      <c r="D1215" s="70"/>
      <c r="E1215" s="70"/>
      <c r="F1215" s="70"/>
      <c r="G1215" s="70"/>
      <c r="H1215" s="70"/>
      <c r="I1215" s="70"/>
      <c r="J1215" s="70"/>
    </row>
    <row r="1216" spans="1:10" ht="16" x14ac:dyDescent="0.2">
      <c r="A1216" s="70"/>
      <c r="B1216" s="70"/>
      <c r="C1216" s="70"/>
      <c r="D1216" s="70"/>
      <c r="E1216" s="70"/>
      <c r="F1216" s="70"/>
      <c r="G1216" s="70"/>
      <c r="H1216" s="70"/>
      <c r="I1216" s="70"/>
      <c r="J1216" s="70"/>
    </row>
    <row r="1217" spans="1:10" ht="16" x14ac:dyDescent="0.2">
      <c r="A1217" s="70"/>
      <c r="B1217" s="70"/>
      <c r="C1217" s="70"/>
      <c r="D1217" s="70"/>
      <c r="E1217" s="70"/>
      <c r="F1217" s="70"/>
      <c r="G1217" s="70"/>
      <c r="H1217" s="70"/>
      <c r="I1217" s="70"/>
      <c r="J1217" s="70"/>
    </row>
    <row r="1218" spans="1:10" ht="16" x14ac:dyDescent="0.2">
      <c r="A1218" s="70"/>
      <c r="B1218" s="70"/>
      <c r="C1218" s="70"/>
      <c r="D1218" s="70"/>
      <c r="E1218" s="70"/>
      <c r="F1218" s="70"/>
      <c r="G1218" s="70"/>
      <c r="H1218" s="70"/>
      <c r="I1218" s="70"/>
      <c r="J1218" s="70"/>
    </row>
    <row r="1219" spans="1:10" ht="16" x14ac:dyDescent="0.2">
      <c r="A1219" s="70"/>
      <c r="B1219" s="70"/>
      <c r="C1219" s="70"/>
      <c r="D1219" s="70"/>
      <c r="E1219" s="70"/>
      <c r="F1219" s="70"/>
      <c r="G1219" s="70"/>
      <c r="H1219" s="70"/>
      <c r="I1219" s="70"/>
      <c r="J1219" s="70"/>
    </row>
    <row r="1220" spans="1:10" ht="16" x14ac:dyDescent="0.2">
      <c r="A1220" s="70"/>
      <c r="B1220" s="70"/>
      <c r="C1220" s="70"/>
      <c r="D1220" s="70"/>
      <c r="E1220" s="70"/>
      <c r="F1220" s="70"/>
      <c r="G1220" s="70"/>
      <c r="H1220" s="70"/>
      <c r="I1220" s="70"/>
      <c r="J1220" s="70"/>
    </row>
    <row r="1221" spans="1:10" ht="16" x14ac:dyDescent="0.2">
      <c r="A1221" s="70"/>
      <c r="B1221" s="70"/>
      <c r="C1221" s="70"/>
      <c r="D1221" s="70"/>
      <c r="E1221" s="70"/>
      <c r="F1221" s="70"/>
      <c r="G1221" s="70"/>
      <c r="H1221" s="70"/>
      <c r="I1221" s="70"/>
      <c r="J1221" s="70"/>
    </row>
    <row r="1222" spans="1:10" ht="16" x14ac:dyDescent="0.2">
      <c r="A1222" s="70"/>
      <c r="B1222" s="70"/>
      <c r="C1222" s="70"/>
      <c r="D1222" s="70"/>
      <c r="E1222" s="70"/>
      <c r="F1222" s="70"/>
      <c r="G1222" s="70"/>
      <c r="H1222" s="70"/>
      <c r="I1222" s="70"/>
      <c r="J1222" s="70"/>
    </row>
    <row r="1223" spans="1:10" ht="16" x14ac:dyDescent="0.2">
      <c r="A1223" s="70"/>
      <c r="B1223" s="70"/>
      <c r="C1223" s="70"/>
      <c r="D1223" s="70"/>
      <c r="E1223" s="70"/>
      <c r="F1223" s="70"/>
      <c r="G1223" s="70"/>
      <c r="H1223" s="70"/>
      <c r="I1223" s="70"/>
      <c r="J1223" s="70"/>
    </row>
    <row r="1224" spans="1:10" ht="16" x14ac:dyDescent="0.2">
      <c r="A1224" s="70"/>
      <c r="B1224" s="70"/>
      <c r="C1224" s="70"/>
      <c r="D1224" s="70"/>
      <c r="E1224" s="70"/>
      <c r="F1224" s="70"/>
      <c r="G1224" s="70"/>
      <c r="H1224" s="70"/>
      <c r="I1224" s="70"/>
      <c r="J1224" s="70"/>
    </row>
    <row r="1225" spans="1:10" ht="16" x14ac:dyDescent="0.2">
      <c r="A1225" s="70"/>
      <c r="B1225" s="70"/>
      <c r="C1225" s="70"/>
      <c r="D1225" s="70"/>
      <c r="E1225" s="70"/>
      <c r="F1225" s="70"/>
      <c r="G1225" s="70"/>
      <c r="H1225" s="70"/>
      <c r="I1225" s="70"/>
      <c r="J1225" s="70"/>
    </row>
    <row r="1226" spans="1:10" ht="16" x14ac:dyDescent="0.2">
      <c r="A1226" s="70"/>
      <c r="B1226" s="70"/>
      <c r="C1226" s="70"/>
      <c r="D1226" s="70"/>
      <c r="E1226" s="70"/>
      <c r="F1226" s="70"/>
      <c r="G1226" s="70"/>
      <c r="H1226" s="70"/>
      <c r="I1226" s="70"/>
      <c r="J1226" s="70"/>
    </row>
    <row r="1227" spans="1:10" ht="16" x14ac:dyDescent="0.2">
      <c r="A1227" s="70"/>
      <c r="B1227" s="70"/>
      <c r="C1227" s="70"/>
      <c r="D1227" s="70"/>
      <c r="E1227" s="70"/>
      <c r="F1227" s="70"/>
      <c r="G1227" s="70"/>
      <c r="H1227" s="70"/>
      <c r="I1227" s="70"/>
      <c r="J1227" s="70"/>
    </row>
    <row r="1228" spans="1:10" ht="16" x14ac:dyDescent="0.2">
      <c r="A1228" s="70"/>
      <c r="B1228" s="70"/>
      <c r="C1228" s="70"/>
      <c r="D1228" s="70"/>
      <c r="E1228" s="70"/>
      <c r="F1228" s="70"/>
      <c r="G1228" s="70"/>
      <c r="H1228" s="70"/>
      <c r="I1228" s="70"/>
      <c r="J1228" s="70"/>
    </row>
    <row r="1229" spans="1:10" ht="16" x14ac:dyDescent="0.2">
      <c r="A1229" s="70"/>
      <c r="B1229" s="70"/>
      <c r="C1229" s="70"/>
      <c r="D1229" s="70"/>
      <c r="E1229" s="70"/>
      <c r="F1229" s="70"/>
      <c r="G1229" s="70"/>
      <c r="H1229" s="70"/>
      <c r="I1229" s="70"/>
      <c r="J1229" s="70"/>
    </row>
    <row r="1230" spans="1:10" ht="16" x14ac:dyDescent="0.2">
      <c r="A1230" s="70"/>
      <c r="B1230" s="70"/>
      <c r="C1230" s="70"/>
      <c r="D1230" s="70"/>
      <c r="E1230" s="70"/>
      <c r="F1230" s="70"/>
      <c r="G1230" s="70"/>
      <c r="H1230" s="70"/>
      <c r="I1230" s="70"/>
      <c r="J1230" s="70"/>
    </row>
    <row r="1231" spans="1:10" ht="16" x14ac:dyDescent="0.2">
      <c r="A1231" s="70"/>
      <c r="B1231" s="70"/>
      <c r="C1231" s="70"/>
      <c r="D1231" s="70"/>
      <c r="E1231" s="70"/>
      <c r="F1231" s="70"/>
      <c r="G1231" s="70"/>
      <c r="H1231" s="70"/>
      <c r="I1231" s="70"/>
      <c r="J1231" s="70"/>
    </row>
    <row r="1232" spans="1:10" ht="16" x14ac:dyDescent="0.2">
      <c r="A1232" s="70"/>
      <c r="B1232" s="70"/>
      <c r="C1232" s="70"/>
      <c r="D1232" s="70"/>
      <c r="E1232" s="70"/>
      <c r="F1232" s="70"/>
      <c r="G1232" s="70"/>
      <c r="H1232" s="70"/>
      <c r="I1232" s="70"/>
      <c r="J1232" s="70"/>
    </row>
    <row r="1233" spans="1:10" ht="16" x14ac:dyDescent="0.2">
      <c r="A1233" s="70"/>
      <c r="B1233" s="70"/>
      <c r="C1233" s="70"/>
      <c r="D1233" s="70"/>
      <c r="E1233" s="70"/>
      <c r="F1233" s="70"/>
      <c r="G1233" s="70"/>
      <c r="H1233" s="70"/>
      <c r="I1233" s="70"/>
      <c r="J1233" s="70"/>
    </row>
    <row r="1234" spans="1:10" ht="16" x14ac:dyDescent="0.2">
      <c r="A1234" s="70"/>
      <c r="B1234" s="70"/>
      <c r="C1234" s="70"/>
      <c r="D1234" s="70"/>
      <c r="E1234" s="70"/>
      <c r="F1234" s="70"/>
      <c r="G1234" s="70"/>
      <c r="H1234" s="70"/>
      <c r="I1234" s="70"/>
      <c r="J1234" s="70"/>
    </row>
    <row r="1235" spans="1:10" ht="16" x14ac:dyDescent="0.2">
      <c r="A1235" s="70"/>
      <c r="B1235" s="70"/>
      <c r="C1235" s="70"/>
      <c r="D1235" s="70"/>
      <c r="E1235" s="70"/>
      <c r="F1235" s="70"/>
      <c r="G1235" s="70"/>
      <c r="H1235" s="70"/>
      <c r="I1235" s="70"/>
      <c r="J1235" s="70"/>
    </row>
    <row r="1236" spans="1:10" ht="16" x14ac:dyDescent="0.2">
      <c r="A1236" s="70"/>
      <c r="B1236" s="70"/>
      <c r="C1236" s="70"/>
      <c r="D1236" s="70"/>
      <c r="E1236" s="70"/>
      <c r="F1236" s="70"/>
      <c r="G1236" s="70"/>
      <c r="H1236" s="70"/>
      <c r="I1236" s="70"/>
      <c r="J1236" s="70"/>
    </row>
    <row r="1237" spans="1:10" ht="16" x14ac:dyDescent="0.2">
      <c r="A1237" s="70"/>
      <c r="B1237" s="70"/>
      <c r="C1237" s="70"/>
      <c r="D1237" s="70"/>
      <c r="E1237" s="70"/>
      <c r="F1237" s="70"/>
      <c r="G1237" s="70"/>
      <c r="H1237" s="70"/>
      <c r="I1237" s="70"/>
      <c r="J1237" s="70"/>
    </row>
    <row r="1238" spans="1:10" ht="16" x14ac:dyDescent="0.2">
      <c r="A1238" s="70"/>
      <c r="B1238" s="70"/>
      <c r="C1238" s="70"/>
      <c r="D1238" s="70"/>
      <c r="E1238" s="70"/>
      <c r="F1238" s="70"/>
      <c r="G1238" s="70"/>
      <c r="H1238" s="70"/>
      <c r="I1238" s="70"/>
      <c r="J1238" s="70"/>
    </row>
    <row r="1239" spans="1:10" ht="16" x14ac:dyDescent="0.2">
      <c r="A1239" s="70"/>
      <c r="B1239" s="70"/>
      <c r="C1239" s="70"/>
      <c r="D1239" s="70"/>
      <c r="E1239" s="70"/>
      <c r="F1239" s="70"/>
      <c r="G1239" s="70"/>
      <c r="H1239" s="70"/>
      <c r="I1239" s="70"/>
      <c r="J1239" s="70"/>
    </row>
    <row r="1240" spans="1:10" ht="16" x14ac:dyDescent="0.2">
      <c r="A1240" s="70"/>
      <c r="B1240" s="70"/>
      <c r="C1240" s="70"/>
      <c r="D1240" s="70"/>
      <c r="E1240" s="70"/>
      <c r="F1240" s="70"/>
      <c r="G1240" s="70"/>
      <c r="H1240" s="70"/>
      <c r="I1240" s="70"/>
      <c r="J1240" s="70"/>
    </row>
    <row r="1241" spans="1:10" ht="16" x14ac:dyDescent="0.2">
      <c r="A1241" s="70"/>
      <c r="B1241" s="70"/>
      <c r="C1241" s="70"/>
      <c r="D1241" s="70"/>
      <c r="E1241" s="70"/>
      <c r="F1241" s="70"/>
      <c r="G1241" s="70"/>
      <c r="H1241" s="70"/>
      <c r="I1241" s="70"/>
      <c r="J1241" s="70"/>
    </row>
    <row r="1242" spans="1:10" ht="16" x14ac:dyDescent="0.2">
      <c r="A1242" s="70"/>
      <c r="B1242" s="70"/>
      <c r="C1242" s="70"/>
      <c r="D1242" s="70"/>
      <c r="E1242" s="70"/>
      <c r="F1242" s="70"/>
      <c r="G1242" s="70"/>
      <c r="H1242" s="70"/>
      <c r="I1242" s="70"/>
      <c r="J1242" s="70"/>
    </row>
    <row r="1243" spans="1:10" ht="16" x14ac:dyDescent="0.2">
      <c r="A1243" s="70"/>
      <c r="B1243" s="70"/>
      <c r="C1243" s="70"/>
      <c r="D1243" s="70"/>
      <c r="E1243" s="70"/>
      <c r="F1243" s="70"/>
      <c r="G1243" s="70"/>
      <c r="H1243" s="70"/>
      <c r="I1243" s="70"/>
      <c r="J1243" s="70"/>
    </row>
    <row r="1244" spans="1:10" ht="16" x14ac:dyDescent="0.2">
      <c r="A1244" s="70"/>
      <c r="B1244" s="70"/>
      <c r="C1244" s="70"/>
      <c r="D1244" s="70"/>
      <c r="E1244" s="70"/>
      <c r="F1244" s="70"/>
      <c r="G1244" s="70"/>
      <c r="H1244" s="70"/>
      <c r="I1244" s="70"/>
      <c r="J1244" s="70"/>
    </row>
    <row r="1245" spans="1:10" ht="16" x14ac:dyDescent="0.2">
      <c r="A1245" s="70"/>
      <c r="B1245" s="70"/>
      <c r="C1245" s="70"/>
      <c r="D1245" s="70"/>
      <c r="E1245" s="70"/>
      <c r="F1245" s="70"/>
      <c r="G1245" s="70"/>
      <c r="H1245" s="70"/>
      <c r="I1245" s="70"/>
      <c r="J1245" s="70"/>
    </row>
    <row r="1246" spans="1:10" ht="16" x14ac:dyDescent="0.2">
      <c r="A1246" s="70"/>
      <c r="B1246" s="70"/>
      <c r="C1246" s="70"/>
      <c r="D1246" s="70"/>
      <c r="E1246" s="70"/>
      <c r="F1246" s="70"/>
      <c r="G1246" s="70"/>
      <c r="H1246" s="70"/>
      <c r="I1246" s="70"/>
      <c r="J1246" s="70"/>
    </row>
    <row r="1247" spans="1:10" ht="16" x14ac:dyDescent="0.2">
      <c r="A1247" s="70"/>
      <c r="B1247" s="70"/>
      <c r="C1247" s="70"/>
      <c r="D1247" s="70"/>
      <c r="E1247" s="70"/>
      <c r="F1247" s="70"/>
      <c r="G1247" s="70"/>
      <c r="H1247" s="70"/>
      <c r="I1247" s="70"/>
      <c r="J1247" s="70"/>
    </row>
    <row r="1248" spans="1:10" ht="16" x14ac:dyDescent="0.2">
      <c r="A1248" s="70"/>
      <c r="B1248" s="70"/>
      <c r="C1248" s="70"/>
      <c r="D1248" s="70"/>
      <c r="E1248" s="70"/>
      <c r="F1248" s="70"/>
      <c r="G1248" s="70"/>
      <c r="H1248" s="70"/>
      <c r="I1248" s="70"/>
      <c r="J1248" s="70"/>
    </row>
    <row r="1249" spans="1:10" ht="16" x14ac:dyDescent="0.2">
      <c r="A1249" s="70"/>
      <c r="B1249" s="70"/>
      <c r="C1249" s="70"/>
      <c r="D1249" s="70"/>
      <c r="E1249" s="70"/>
      <c r="F1249" s="70"/>
      <c r="G1249" s="70"/>
      <c r="H1249" s="70"/>
      <c r="I1249" s="70"/>
      <c r="J1249" s="70"/>
    </row>
    <row r="1250" spans="1:10" ht="16" x14ac:dyDescent="0.2">
      <c r="A1250" s="70"/>
      <c r="B1250" s="70"/>
      <c r="C1250" s="70"/>
      <c r="D1250" s="70"/>
      <c r="E1250" s="70"/>
      <c r="F1250" s="70"/>
      <c r="G1250" s="70"/>
      <c r="H1250" s="70"/>
      <c r="I1250" s="70"/>
      <c r="J1250" s="70"/>
    </row>
    <row r="1251" spans="1:10" ht="16" x14ac:dyDescent="0.2">
      <c r="A1251" s="70"/>
      <c r="B1251" s="70"/>
      <c r="C1251" s="70"/>
      <c r="D1251" s="70"/>
      <c r="E1251" s="70"/>
      <c r="F1251" s="70"/>
      <c r="G1251" s="70"/>
      <c r="H1251" s="70"/>
      <c r="I1251" s="70"/>
      <c r="J1251" s="70"/>
    </row>
    <row r="1252" spans="1:10" ht="16" x14ac:dyDescent="0.2">
      <c r="A1252" s="70"/>
      <c r="B1252" s="70"/>
      <c r="C1252" s="70"/>
      <c r="D1252" s="70"/>
      <c r="E1252" s="70"/>
      <c r="F1252" s="70"/>
      <c r="G1252" s="70"/>
      <c r="H1252" s="70"/>
      <c r="I1252" s="70"/>
      <c r="J1252" s="70"/>
    </row>
    <row r="1253" spans="1:10" ht="16" x14ac:dyDescent="0.2">
      <c r="A1253" s="70"/>
      <c r="B1253" s="70"/>
      <c r="C1253" s="70"/>
      <c r="D1253" s="70"/>
      <c r="E1253" s="70"/>
      <c r="F1253" s="70"/>
      <c r="G1253" s="70"/>
      <c r="H1253" s="70"/>
      <c r="I1253" s="70"/>
      <c r="J1253" s="70"/>
    </row>
    <row r="1254" spans="1:10" ht="16" x14ac:dyDescent="0.2">
      <c r="A1254" s="70"/>
      <c r="B1254" s="70"/>
      <c r="C1254" s="70"/>
      <c r="D1254" s="70"/>
      <c r="E1254" s="70"/>
      <c r="F1254" s="70"/>
      <c r="G1254" s="70"/>
      <c r="H1254" s="70"/>
      <c r="I1254" s="70"/>
      <c r="J1254" s="70"/>
    </row>
    <row r="1255" spans="1:10" ht="16" x14ac:dyDescent="0.2">
      <c r="A1255" s="70"/>
      <c r="B1255" s="70"/>
      <c r="C1255" s="70"/>
      <c r="D1255" s="70"/>
      <c r="E1255" s="70"/>
      <c r="F1255" s="70"/>
      <c r="G1255" s="70"/>
      <c r="H1255" s="70"/>
      <c r="I1255" s="70"/>
      <c r="J1255" s="70"/>
    </row>
    <row r="1256" spans="1:10" ht="16" x14ac:dyDescent="0.2">
      <c r="A1256" s="70"/>
      <c r="B1256" s="70"/>
      <c r="C1256" s="70"/>
      <c r="D1256" s="70"/>
      <c r="E1256" s="70"/>
      <c r="F1256" s="70"/>
      <c r="G1256" s="70"/>
      <c r="H1256" s="70"/>
      <c r="I1256" s="70"/>
      <c r="J1256" s="70"/>
    </row>
    <row r="1257" spans="1:10" ht="16" x14ac:dyDescent="0.2">
      <c r="A1257" s="70"/>
      <c r="B1257" s="70"/>
      <c r="C1257" s="70"/>
      <c r="D1257" s="70"/>
      <c r="E1257" s="70"/>
      <c r="F1257" s="70"/>
      <c r="G1257" s="70"/>
      <c r="H1257" s="70"/>
      <c r="I1257" s="70"/>
      <c r="J1257" s="70"/>
    </row>
    <row r="1258" spans="1:10" ht="16" x14ac:dyDescent="0.2">
      <c r="A1258" s="70"/>
      <c r="B1258" s="70"/>
      <c r="C1258" s="70"/>
      <c r="D1258" s="70"/>
      <c r="E1258" s="70"/>
      <c r="F1258" s="70"/>
      <c r="G1258" s="70"/>
      <c r="H1258" s="70"/>
      <c r="I1258" s="70"/>
      <c r="J1258" s="70"/>
    </row>
    <row r="1259" spans="1:10" ht="16" x14ac:dyDescent="0.2">
      <c r="A1259" s="70"/>
      <c r="B1259" s="70"/>
      <c r="C1259" s="70"/>
      <c r="D1259" s="70"/>
      <c r="E1259" s="70"/>
      <c r="F1259" s="70"/>
      <c r="G1259" s="70"/>
      <c r="H1259" s="70"/>
      <c r="I1259" s="70"/>
      <c r="J1259" s="70"/>
    </row>
    <row r="1260" spans="1:10" ht="16" x14ac:dyDescent="0.2">
      <c r="A1260" s="70"/>
      <c r="B1260" s="70"/>
      <c r="C1260" s="70"/>
      <c r="D1260" s="70"/>
      <c r="E1260" s="70"/>
      <c r="F1260" s="70"/>
      <c r="G1260" s="70"/>
      <c r="H1260" s="70"/>
      <c r="I1260" s="70"/>
      <c r="J1260" s="70"/>
    </row>
    <row r="1261" spans="1:10" ht="16" x14ac:dyDescent="0.2">
      <c r="A1261" s="70"/>
      <c r="B1261" s="70"/>
      <c r="C1261" s="70"/>
      <c r="D1261" s="70"/>
      <c r="E1261" s="70"/>
      <c r="F1261" s="70"/>
      <c r="G1261" s="70"/>
      <c r="H1261" s="70"/>
      <c r="I1261" s="70"/>
      <c r="J1261" s="70"/>
    </row>
    <row r="1262" spans="1:10" ht="16" x14ac:dyDescent="0.2">
      <c r="A1262" s="70"/>
      <c r="B1262" s="70"/>
      <c r="C1262" s="70"/>
      <c r="D1262" s="70"/>
      <c r="E1262" s="70"/>
      <c r="F1262" s="70"/>
      <c r="G1262" s="70"/>
      <c r="H1262" s="70"/>
      <c r="I1262" s="70"/>
      <c r="J1262" s="70"/>
    </row>
    <row r="1263" spans="1:10" ht="16" x14ac:dyDescent="0.2">
      <c r="A1263" s="70"/>
      <c r="B1263" s="70"/>
      <c r="C1263" s="70"/>
      <c r="D1263" s="70"/>
      <c r="E1263" s="70"/>
      <c r="F1263" s="70"/>
      <c r="G1263" s="70"/>
      <c r="H1263" s="70"/>
      <c r="I1263" s="70"/>
      <c r="J1263" s="70"/>
    </row>
    <row r="1264" spans="1:10" ht="16" x14ac:dyDescent="0.2">
      <c r="A1264" s="70"/>
      <c r="B1264" s="70"/>
      <c r="C1264" s="70"/>
      <c r="D1264" s="70"/>
      <c r="E1264" s="70"/>
      <c r="F1264" s="70"/>
      <c r="G1264" s="70"/>
      <c r="H1264" s="70"/>
      <c r="I1264" s="70"/>
      <c r="J1264" s="70"/>
    </row>
    <row r="1265" spans="1:10" ht="16" x14ac:dyDescent="0.2">
      <c r="A1265" s="70"/>
      <c r="B1265" s="70"/>
      <c r="C1265" s="70"/>
      <c r="D1265" s="70"/>
      <c r="E1265" s="70"/>
      <c r="F1265" s="70"/>
      <c r="G1265" s="70"/>
      <c r="H1265" s="70"/>
      <c r="I1265" s="70"/>
      <c r="J1265" s="70"/>
    </row>
    <row r="1266" spans="1:10" ht="16" x14ac:dyDescent="0.2">
      <c r="A1266" s="70"/>
      <c r="B1266" s="70"/>
      <c r="C1266" s="70"/>
      <c r="D1266" s="70"/>
      <c r="E1266" s="70"/>
      <c r="F1266" s="70"/>
      <c r="G1266" s="70"/>
      <c r="H1266" s="70"/>
      <c r="I1266" s="70"/>
      <c r="J1266" s="70"/>
    </row>
    <row r="1267" spans="1:10" ht="16" x14ac:dyDescent="0.2">
      <c r="A1267" s="70"/>
      <c r="B1267" s="70"/>
      <c r="C1267" s="70"/>
      <c r="D1267" s="70"/>
      <c r="E1267" s="70"/>
      <c r="F1267" s="70"/>
      <c r="G1267" s="70"/>
      <c r="H1267" s="70"/>
      <c r="I1267" s="70"/>
      <c r="J1267" s="70"/>
    </row>
    <row r="1268" spans="1:10" ht="16" x14ac:dyDescent="0.2">
      <c r="A1268" s="70"/>
      <c r="B1268" s="70"/>
      <c r="C1268" s="70"/>
      <c r="D1268" s="70"/>
      <c r="E1268" s="70"/>
      <c r="F1268" s="70"/>
      <c r="G1268" s="70"/>
      <c r="H1268" s="70"/>
      <c r="I1268" s="70"/>
      <c r="J1268" s="70"/>
    </row>
    <row r="1269" spans="1:10" ht="16" x14ac:dyDescent="0.2">
      <c r="A1269" s="70"/>
      <c r="B1269" s="70"/>
      <c r="C1269" s="70"/>
      <c r="D1269" s="70"/>
      <c r="E1269" s="70"/>
      <c r="F1269" s="70"/>
      <c r="G1269" s="70"/>
      <c r="H1269" s="70"/>
      <c r="I1269" s="70"/>
      <c r="J1269" s="70"/>
    </row>
    <row r="1270" spans="1:10" ht="16" x14ac:dyDescent="0.2">
      <c r="A1270" s="70"/>
      <c r="B1270" s="70"/>
      <c r="C1270" s="70"/>
      <c r="D1270" s="70"/>
      <c r="E1270" s="70"/>
      <c r="F1270" s="70"/>
      <c r="G1270" s="70"/>
      <c r="H1270" s="70"/>
      <c r="I1270" s="70"/>
      <c r="J1270" s="70"/>
    </row>
    <row r="1271" spans="1:10" ht="16" x14ac:dyDescent="0.2">
      <c r="A1271" s="70"/>
      <c r="B1271" s="70"/>
      <c r="C1271" s="70"/>
      <c r="D1271" s="70"/>
      <c r="E1271" s="70"/>
      <c r="F1271" s="70"/>
      <c r="G1271" s="70"/>
      <c r="H1271" s="70"/>
      <c r="I1271" s="70"/>
      <c r="J1271" s="70"/>
    </row>
    <row r="1272" spans="1:10" ht="16" x14ac:dyDescent="0.2">
      <c r="A1272" s="70"/>
      <c r="B1272" s="70"/>
      <c r="C1272" s="70"/>
      <c r="D1272" s="70"/>
      <c r="E1272" s="70"/>
      <c r="F1272" s="70"/>
      <c r="G1272" s="70"/>
      <c r="H1272" s="70"/>
      <c r="I1272" s="70"/>
      <c r="J1272" s="70"/>
    </row>
    <row r="1273" spans="1:10" ht="16" x14ac:dyDescent="0.2">
      <c r="A1273" s="70"/>
      <c r="B1273" s="70"/>
      <c r="C1273" s="70"/>
      <c r="D1273" s="70"/>
      <c r="E1273" s="70"/>
      <c r="F1273" s="70"/>
      <c r="G1273" s="70"/>
      <c r="H1273" s="70"/>
      <c r="I1273" s="70"/>
      <c r="J1273" s="70"/>
    </row>
    <row r="1274" spans="1:10" ht="16" x14ac:dyDescent="0.2">
      <c r="A1274" s="70"/>
      <c r="B1274" s="70"/>
      <c r="C1274" s="70"/>
      <c r="D1274" s="70"/>
      <c r="E1274" s="70"/>
      <c r="F1274" s="70"/>
      <c r="G1274" s="70"/>
      <c r="H1274" s="70"/>
      <c r="I1274" s="70"/>
      <c r="J1274" s="70"/>
    </row>
    <row r="1275" spans="1:10" ht="16" x14ac:dyDescent="0.2">
      <c r="A1275" s="70"/>
      <c r="B1275" s="70"/>
      <c r="C1275" s="70"/>
      <c r="D1275" s="70"/>
      <c r="E1275" s="70"/>
      <c r="F1275" s="70"/>
      <c r="G1275" s="70"/>
      <c r="H1275" s="70"/>
      <c r="I1275" s="70"/>
      <c r="J1275" s="70"/>
    </row>
    <row r="1276" spans="1:10" ht="16" x14ac:dyDescent="0.2">
      <c r="A1276" s="70"/>
      <c r="B1276" s="70"/>
      <c r="C1276" s="70"/>
      <c r="D1276" s="70"/>
      <c r="E1276" s="70"/>
      <c r="F1276" s="70"/>
      <c r="G1276" s="70"/>
      <c r="H1276" s="70"/>
      <c r="I1276" s="70"/>
      <c r="J1276" s="70"/>
    </row>
    <row r="1277" spans="1:10" ht="16" x14ac:dyDescent="0.2">
      <c r="A1277" s="70"/>
      <c r="B1277" s="70"/>
      <c r="C1277" s="70"/>
      <c r="D1277" s="70"/>
      <c r="E1277" s="70"/>
      <c r="F1277" s="70"/>
      <c r="G1277" s="70"/>
      <c r="H1277" s="70"/>
      <c r="I1277" s="70"/>
      <c r="J1277" s="70"/>
    </row>
    <row r="1278" spans="1:10" ht="16" x14ac:dyDescent="0.2">
      <c r="A1278" s="70"/>
      <c r="B1278" s="70"/>
      <c r="C1278" s="70"/>
      <c r="D1278" s="70"/>
      <c r="E1278" s="70"/>
      <c r="F1278" s="70"/>
      <c r="G1278" s="70"/>
      <c r="H1278" s="70"/>
      <c r="I1278" s="70"/>
      <c r="J1278" s="70"/>
    </row>
    <row r="1279" spans="1:10" ht="16" x14ac:dyDescent="0.2">
      <c r="A1279" s="70"/>
      <c r="B1279" s="70"/>
      <c r="C1279" s="70"/>
      <c r="D1279" s="70"/>
      <c r="E1279" s="70"/>
      <c r="F1279" s="70"/>
      <c r="G1279" s="70"/>
      <c r="H1279" s="70"/>
      <c r="I1279" s="70"/>
      <c r="J1279" s="70"/>
    </row>
    <row r="1280" spans="1:10" ht="16" x14ac:dyDescent="0.2">
      <c r="A1280" s="70"/>
      <c r="B1280" s="70"/>
      <c r="C1280" s="70"/>
      <c r="D1280" s="70"/>
      <c r="E1280" s="70"/>
      <c r="F1280" s="70"/>
      <c r="G1280" s="70"/>
      <c r="H1280" s="70"/>
      <c r="I1280" s="70"/>
      <c r="J1280" s="70"/>
    </row>
    <row r="1281" spans="1:10" ht="16" x14ac:dyDescent="0.2">
      <c r="A1281" s="70"/>
      <c r="B1281" s="70"/>
      <c r="C1281" s="70"/>
      <c r="D1281" s="70"/>
      <c r="E1281" s="70"/>
      <c r="F1281" s="70"/>
      <c r="G1281" s="70"/>
      <c r="H1281" s="70"/>
      <c r="I1281" s="70"/>
      <c r="J1281" s="70"/>
    </row>
    <row r="1282" spans="1:10" ht="16" x14ac:dyDescent="0.2">
      <c r="A1282" s="70"/>
      <c r="B1282" s="70"/>
      <c r="C1282" s="70"/>
      <c r="D1282" s="70"/>
      <c r="E1282" s="70"/>
      <c r="F1282" s="70"/>
      <c r="G1282" s="70"/>
      <c r="H1282" s="70"/>
      <c r="I1282" s="70"/>
      <c r="J1282" s="70"/>
    </row>
    <row r="1283" spans="1:10" ht="16" x14ac:dyDescent="0.2">
      <c r="A1283" s="70"/>
      <c r="B1283" s="70"/>
      <c r="C1283" s="70"/>
      <c r="D1283" s="70"/>
      <c r="E1283" s="70"/>
      <c r="F1283" s="70"/>
      <c r="G1283" s="70"/>
      <c r="H1283" s="70"/>
      <c r="I1283" s="70"/>
      <c r="J1283" s="70"/>
    </row>
    <row r="1284" spans="1:10" ht="16" x14ac:dyDescent="0.2">
      <c r="A1284" s="70"/>
      <c r="B1284" s="70"/>
      <c r="C1284" s="70"/>
      <c r="D1284" s="70"/>
      <c r="E1284" s="70"/>
      <c r="F1284" s="70"/>
      <c r="G1284" s="70"/>
      <c r="H1284" s="70"/>
      <c r="I1284" s="70"/>
      <c r="J1284" s="70"/>
    </row>
    <row r="1285" spans="1:10" ht="16" x14ac:dyDescent="0.2">
      <c r="A1285" s="70"/>
      <c r="B1285" s="70"/>
      <c r="C1285" s="70"/>
      <c r="D1285" s="70"/>
      <c r="E1285" s="70"/>
      <c r="F1285" s="70"/>
      <c r="G1285" s="70"/>
      <c r="H1285" s="70"/>
      <c r="I1285" s="70"/>
      <c r="J1285" s="70"/>
    </row>
    <row r="1286" spans="1:10" ht="16" x14ac:dyDescent="0.2">
      <c r="A1286" s="70"/>
      <c r="B1286" s="70"/>
      <c r="C1286" s="70"/>
      <c r="D1286" s="70"/>
      <c r="E1286" s="70"/>
      <c r="F1286" s="70"/>
      <c r="G1286" s="70"/>
      <c r="H1286" s="70"/>
      <c r="I1286" s="70"/>
      <c r="J1286" s="70"/>
    </row>
    <row r="1287" spans="1:10" ht="16" x14ac:dyDescent="0.2">
      <c r="A1287" s="70"/>
      <c r="B1287" s="70"/>
      <c r="C1287" s="70"/>
      <c r="D1287" s="70"/>
      <c r="E1287" s="70"/>
      <c r="F1287" s="70"/>
      <c r="G1287" s="70"/>
      <c r="H1287" s="70"/>
      <c r="I1287" s="70"/>
      <c r="J1287" s="70"/>
    </row>
    <row r="1288" spans="1:10" ht="16" x14ac:dyDescent="0.2">
      <c r="A1288" s="70"/>
      <c r="B1288" s="70"/>
      <c r="C1288" s="70"/>
      <c r="D1288" s="70"/>
      <c r="E1288" s="70"/>
      <c r="F1288" s="70"/>
      <c r="G1288" s="70"/>
      <c r="H1288" s="70"/>
      <c r="I1288" s="70"/>
      <c r="J1288" s="70"/>
    </row>
    <row r="1289" spans="1:10" ht="16" x14ac:dyDescent="0.2">
      <c r="A1289" s="70"/>
      <c r="B1289" s="70"/>
      <c r="C1289" s="70"/>
      <c r="D1289" s="70"/>
      <c r="E1289" s="70"/>
      <c r="F1289" s="70"/>
      <c r="G1289" s="70"/>
      <c r="H1289" s="70"/>
      <c r="I1289" s="70"/>
      <c r="J1289" s="70"/>
    </row>
    <row r="1290" spans="1:10" ht="16" x14ac:dyDescent="0.2">
      <c r="A1290" s="70"/>
      <c r="B1290" s="70"/>
      <c r="C1290" s="70"/>
      <c r="D1290" s="70"/>
      <c r="E1290" s="70"/>
      <c r="F1290" s="70"/>
      <c r="G1290" s="70"/>
      <c r="H1290" s="70"/>
      <c r="I1290" s="70"/>
      <c r="J1290" s="70"/>
    </row>
    <row r="1291" spans="1:10" ht="16" x14ac:dyDescent="0.2">
      <c r="A1291" s="70"/>
      <c r="B1291" s="70"/>
      <c r="C1291" s="70"/>
      <c r="D1291" s="70"/>
      <c r="E1291" s="70"/>
      <c r="F1291" s="70"/>
      <c r="G1291" s="70"/>
      <c r="H1291" s="70"/>
      <c r="I1291" s="70"/>
      <c r="J1291" s="70"/>
    </row>
    <row r="1292" spans="1:10" ht="16" x14ac:dyDescent="0.2">
      <c r="A1292" s="70"/>
      <c r="B1292" s="70"/>
      <c r="C1292" s="70"/>
      <c r="D1292" s="70"/>
      <c r="E1292" s="70"/>
      <c r="F1292" s="70"/>
      <c r="G1292" s="70"/>
      <c r="H1292" s="70"/>
      <c r="I1292" s="70"/>
      <c r="J1292" s="70"/>
    </row>
    <row r="1293" spans="1:10" ht="16" x14ac:dyDescent="0.2">
      <c r="A1293" s="70"/>
      <c r="B1293" s="70"/>
      <c r="C1293" s="70"/>
      <c r="D1293" s="70"/>
      <c r="E1293" s="70"/>
      <c r="F1293" s="70"/>
      <c r="G1293" s="70"/>
      <c r="H1293" s="70"/>
      <c r="I1293" s="70"/>
      <c r="J1293" s="70"/>
    </row>
    <row r="1294" spans="1:10" ht="16" x14ac:dyDescent="0.2">
      <c r="A1294" s="70"/>
      <c r="B1294" s="70"/>
      <c r="C1294" s="70"/>
      <c r="D1294" s="70"/>
      <c r="E1294" s="70"/>
      <c r="F1294" s="70"/>
      <c r="G1294" s="70"/>
      <c r="H1294" s="70"/>
      <c r="I1294" s="70"/>
      <c r="J1294" s="70"/>
    </row>
    <row r="1295" spans="1:10" ht="16" x14ac:dyDescent="0.2">
      <c r="A1295" s="70"/>
      <c r="B1295" s="70"/>
      <c r="C1295" s="70"/>
      <c r="D1295" s="70"/>
      <c r="E1295" s="70"/>
      <c r="F1295" s="70"/>
      <c r="G1295" s="70"/>
      <c r="H1295" s="70"/>
      <c r="I1295" s="70"/>
      <c r="J1295" s="70"/>
    </row>
    <row r="1296" spans="1:10" ht="16" x14ac:dyDescent="0.2">
      <c r="A1296" s="70"/>
      <c r="B1296" s="70"/>
      <c r="C1296" s="70"/>
      <c r="D1296" s="70"/>
      <c r="E1296" s="70"/>
      <c r="F1296" s="70"/>
      <c r="G1296" s="70"/>
      <c r="H1296" s="70"/>
      <c r="I1296" s="70"/>
      <c r="J1296" s="70"/>
    </row>
    <row r="1297" spans="1:10" ht="16" x14ac:dyDescent="0.2">
      <c r="A1297" s="70"/>
      <c r="B1297" s="70"/>
      <c r="C1297" s="70"/>
      <c r="D1297" s="70"/>
      <c r="E1297" s="70"/>
      <c r="F1297" s="70"/>
      <c r="G1297" s="70"/>
      <c r="H1297" s="70"/>
      <c r="I1297" s="70"/>
      <c r="J1297" s="70"/>
    </row>
    <row r="1298" spans="1:10" ht="16" x14ac:dyDescent="0.2">
      <c r="A1298" s="70"/>
      <c r="B1298" s="70"/>
      <c r="C1298" s="70"/>
      <c r="D1298" s="70"/>
      <c r="E1298" s="70"/>
      <c r="F1298" s="70"/>
      <c r="G1298" s="70"/>
      <c r="H1298" s="70"/>
      <c r="I1298" s="70"/>
      <c r="J1298" s="70"/>
    </row>
    <row r="1299" spans="1:10" ht="16" x14ac:dyDescent="0.2">
      <c r="A1299" s="70"/>
      <c r="B1299" s="70"/>
      <c r="C1299" s="70"/>
      <c r="D1299" s="70"/>
      <c r="E1299" s="70"/>
      <c r="F1299" s="70"/>
      <c r="G1299" s="70"/>
      <c r="H1299" s="70"/>
      <c r="I1299" s="70"/>
      <c r="J1299" s="70"/>
    </row>
    <row r="1300" spans="1:10" ht="16" x14ac:dyDescent="0.2">
      <c r="A1300" s="70"/>
      <c r="B1300" s="70"/>
      <c r="C1300" s="70"/>
      <c r="D1300" s="70"/>
      <c r="E1300" s="70"/>
      <c r="F1300" s="70"/>
      <c r="G1300" s="70"/>
      <c r="H1300" s="70"/>
      <c r="I1300" s="70"/>
      <c r="J1300" s="70"/>
    </row>
    <row r="1301" spans="1:10" ht="16" x14ac:dyDescent="0.2">
      <c r="A1301" s="70"/>
      <c r="B1301" s="70"/>
      <c r="C1301" s="70"/>
      <c r="D1301" s="70"/>
      <c r="E1301" s="70"/>
      <c r="F1301" s="70"/>
      <c r="G1301" s="70"/>
      <c r="H1301" s="70"/>
      <c r="I1301" s="70"/>
      <c r="J1301" s="70"/>
    </row>
    <row r="1302" spans="1:10" ht="16" x14ac:dyDescent="0.2">
      <c r="A1302" s="70"/>
      <c r="B1302" s="70"/>
      <c r="C1302" s="70"/>
      <c r="D1302" s="70"/>
      <c r="E1302" s="70"/>
      <c r="F1302" s="70"/>
      <c r="G1302" s="70"/>
      <c r="H1302" s="70"/>
      <c r="I1302" s="70"/>
      <c r="J1302" s="70"/>
    </row>
    <row r="1303" spans="1:10" ht="16" x14ac:dyDescent="0.2">
      <c r="A1303" s="70"/>
      <c r="B1303" s="70"/>
      <c r="C1303" s="70"/>
      <c r="D1303" s="70"/>
      <c r="E1303" s="70"/>
      <c r="F1303" s="70"/>
      <c r="G1303" s="70"/>
      <c r="H1303" s="70"/>
      <c r="I1303" s="70"/>
      <c r="J1303" s="70"/>
    </row>
    <row r="1304" spans="1:10" ht="16" x14ac:dyDescent="0.2">
      <c r="A1304" s="70"/>
      <c r="B1304" s="70"/>
      <c r="C1304" s="70"/>
      <c r="D1304" s="70"/>
      <c r="E1304" s="70"/>
      <c r="F1304" s="70"/>
      <c r="G1304" s="70"/>
      <c r="H1304" s="70"/>
      <c r="I1304" s="70"/>
      <c r="J1304" s="70"/>
    </row>
    <row r="1305" spans="1:10" ht="16" x14ac:dyDescent="0.2">
      <c r="A1305" s="70"/>
      <c r="B1305" s="70"/>
      <c r="C1305" s="70"/>
      <c r="D1305" s="70"/>
      <c r="E1305" s="70"/>
      <c r="F1305" s="70"/>
      <c r="G1305" s="70"/>
      <c r="H1305" s="70"/>
      <c r="I1305" s="70"/>
      <c r="J1305" s="70"/>
    </row>
    <row r="1306" spans="1:10" ht="16" x14ac:dyDescent="0.2">
      <c r="A1306" s="70"/>
      <c r="B1306" s="70"/>
      <c r="C1306" s="70"/>
      <c r="D1306" s="70"/>
      <c r="E1306" s="70"/>
      <c r="F1306" s="70"/>
      <c r="G1306" s="70"/>
      <c r="H1306" s="70"/>
      <c r="I1306" s="70"/>
      <c r="J1306" s="70"/>
    </row>
    <row r="1307" spans="1:10" ht="16" x14ac:dyDescent="0.2">
      <c r="A1307" s="70"/>
      <c r="B1307" s="70"/>
      <c r="C1307" s="70"/>
      <c r="D1307" s="70"/>
      <c r="E1307" s="70"/>
      <c r="F1307" s="70"/>
      <c r="G1307" s="70"/>
      <c r="H1307" s="70"/>
      <c r="I1307" s="70"/>
      <c r="J1307" s="70"/>
    </row>
    <row r="1308" spans="1:10" ht="16" x14ac:dyDescent="0.2">
      <c r="A1308" s="70"/>
      <c r="B1308" s="70"/>
      <c r="C1308" s="70"/>
      <c r="D1308" s="70"/>
      <c r="E1308" s="70"/>
      <c r="F1308" s="70"/>
      <c r="G1308" s="70"/>
      <c r="H1308" s="70"/>
      <c r="I1308" s="70"/>
      <c r="J1308" s="70"/>
    </row>
    <row r="1309" spans="1:10" ht="16" x14ac:dyDescent="0.2">
      <c r="A1309" s="70"/>
      <c r="B1309" s="70"/>
      <c r="C1309" s="70"/>
      <c r="D1309" s="70"/>
      <c r="E1309" s="70"/>
      <c r="F1309" s="70"/>
      <c r="G1309" s="70"/>
      <c r="H1309" s="70"/>
      <c r="I1309" s="70"/>
      <c r="J1309" s="70"/>
    </row>
    <row r="1310" spans="1:10" ht="16" x14ac:dyDescent="0.2">
      <c r="A1310" s="70"/>
      <c r="B1310" s="70"/>
      <c r="C1310" s="70"/>
      <c r="D1310" s="70"/>
      <c r="E1310" s="70"/>
      <c r="F1310" s="70"/>
      <c r="G1310" s="70"/>
      <c r="H1310" s="70"/>
      <c r="I1310" s="70"/>
      <c r="J1310" s="70"/>
    </row>
    <row r="1311" spans="1:10" ht="16" x14ac:dyDescent="0.2">
      <c r="A1311" s="70"/>
      <c r="B1311" s="70"/>
      <c r="C1311" s="70"/>
      <c r="D1311" s="70"/>
      <c r="E1311" s="70"/>
      <c r="F1311" s="70"/>
      <c r="G1311" s="70"/>
      <c r="H1311" s="70"/>
      <c r="I1311" s="70"/>
      <c r="J1311" s="70"/>
    </row>
    <row r="1312" spans="1:10" ht="16" x14ac:dyDescent="0.2">
      <c r="A1312" s="70"/>
      <c r="B1312" s="70"/>
      <c r="C1312" s="70"/>
      <c r="D1312" s="70"/>
      <c r="E1312" s="70"/>
      <c r="F1312" s="70"/>
      <c r="G1312" s="70"/>
      <c r="H1312" s="70"/>
      <c r="I1312" s="70"/>
      <c r="J1312" s="70"/>
    </row>
    <row r="1313" spans="1:10" ht="16" x14ac:dyDescent="0.2">
      <c r="A1313" s="70"/>
      <c r="B1313" s="70"/>
      <c r="C1313" s="70"/>
      <c r="D1313" s="70"/>
      <c r="E1313" s="70"/>
      <c r="F1313" s="70"/>
      <c r="G1313" s="70"/>
      <c r="H1313" s="70"/>
      <c r="I1313" s="70"/>
      <c r="J1313" s="70"/>
    </row>
    <row r="1314" spans="1:10" ht="16" x14ac:dyDescent="0.2">
      <c r="A1314" s="70"/>
      <c r="B1314" s="70"/>
      <c r="C1314" s="70"/>
      <c r="D1314" s="70"/>
      <c r="E1314" s="70"/>
      <c r="F1314" s="70"/>
      <c r="G1314" s="70"/>
      <c r="H1314" s="70"/>
      <c r="I1314" s="70"/>
      <c r="J1314" s="70"/>
    </row>
    <row r="1315" spans="1:10" ht="16" x14ac:dyDescent="0.2">
      <c r="A1315" s="70"/>
      <c r="B1315" s="70"/>
      <c r="C1315" s="70"/>
      <c r="D1315" s="70"/>
      <c r="E1315" s="70"/>
      <c r="F1315" s="70"/>
      <c r="G1315" s="70"/>
      <c r="H1315" s="70"/>
      <c r="I1315" s="70"/>
      <c r="J1315" s="70"/>
    </row>
    <row r="1316" spans="1:10" ht="16" x14ac:dyDescent="0.2">
      <c r="A1316" s="70"/>
      <c r="B1316" s="70"/>
      <c r="C1316" s="70"/>
      <c r="D1316" s="70"/>
      <c r="E1316" s="70"/>
      <c r="F1316" s="70"/>
      <c r="G1316" s="70"/>
      <c r="H1316" s="70"/>
      <c r="I1316" s="70"/>
      <c r="J1316" s="70"/>
    </row>
    <row r="1317" spans="1:10" ht="16" x14ac:dyDescent="0.2">
      <c r="A1317" s="70"/>
      <c r="B1317" s="70"/>
      <c r="C1317" s="70"/>
      <c r="D1317" s="70"/>
      <c r="E1317" s="70"/>
      <c r="F1317" s="70"/>
      <c r="G1317" s="70"/>
      <c r="H1317" s="70"/>
      <c r="I1317" s="70"/>
      <c r="J1317" s="70"/>
    </row>
    <row r="1318" spans="1:10" ht="16" x14ac:dyDescent="0.2">
      <c r="A1318" s="70"/>
      <c r="B1318" s="70"/>
      <c r="C1318" s="70"/>
      <c r="D1318" s="70"/>
      <c r="E1318" s="70"/>
      <c r="F1318" s="70"/>
      <c r="G1318" s="70"/>
      <c r="H1318" s="70"/>
      <c r="I1318" s="70"/>
      <c r="J1318" s="70"/>
    </row>
    <row r="1319" spans="1:10" ht="16" x14ac:dyDescent="0.2">
      <c r="A1319" s="70"/>
      <c r="B1319" s="70"/>
      <c r="C1319" s="70"/>
      <c r="D1319" s="70"/>
      <c r="E1319" s="70"/>
      <c r="F1319" s="70"/>
      <c r="G1319" s="70"/>
      <c r="H1319" s="70"/>
      <c r="I1319" s="70"/>
      <c r="J1319" s="70"/>
    </row>
    <row r="1320" spans="1:10" ht="16" x14ac:dyDescent="0.2">
      <c r="A1320" s="70"/>
      <c r="B1320" s="70"/>
      <c r="C1320" s="70"/>
      <c r="D1320" s="70"/>
      <c r="E1320" s="70"/>
      <c r="F1320" s="70"/>
      <c r="G1320" s="70"/>
      <c r="H1320" s="70"/>
      <c r="I1320" s="70"/>
      <c r="J1320" s="70"/>
    </row>
    <row r="1321" spans="1:10" ht="16" x14ac:dyDescent="0.2">
      <c r="A1321" s="70"/>
      <c r="B1321" s="70"/>
      <c r="C1321" s="70"/>
      <c r="D1321" s="70"/>
      <c r="E1321" s="70"/>
      <c r="F1321" s="70"/>
      <c r="G1321" s="70"/>
      <c r="H1321" s="70"/>
      <c r="I1321" s="70"/>
      <c r="J1321" s="70"/>
    </row>
    <row r="1322" spans="1:10" ht="16" x14ac:dyDescent="0.2">
      <c r="A1322" s="70"/>
      <c r="B1322" s="70"/>
      <c r="C1322" s="70"/>
      <c r="D1322" s="70"/>
      <c r="E1322" s="70"/>
      <c r="F1322" s="70"/>
      <c r="G1322" s="70"/>
      <c r="H1322" s="70"/>
      <c r="I1322" s="70"/>
      <c r="J1322" s="70"/>
    </row>
    <row r="1323" spans="1:10" ht="16" x14ac:dyDescent="0.2">
      <c r="A1323" s="70"/>
      <c r="B1323" s="70"/>
      <c r="C1323" s="70"/>
      <c r="D1323" s="70"/>
      <c r="E1323" s="70"/>
      <c r="F1323" s="70"/>
      <c r="G1323" s="70"/>
      <c r="H1323" s="70"/>
      <c r="I1323" s="70"/>
      <c r="J1323" s="70"/>
    </row>
    <row r="1324" spans="1:10" ht="16" x14ac:dyDescent="0.2">
      <c r="A1324" s="70"/>
      <c r="B1324" s="70"/>
      <c r="C1324" s="70"/>
      <c r="D1324" s="70"/>
      <c r="E1324" s="70"/>
      <c r="F1324" s="70"/>
      <c r="G1324" s="70"/>
      <c r="H1324" s="70"/>
      <c r="I1324" s="70"/>
      <c r="J1324" s="70"/>
    </row>
    <row r="1325" spans="1:10" ht="16" x14ac:dyDescent="0.2">
      <c r="A1325" s="70"/>
      <c r="B1325" s="70"/>
      <c r="C1325" s="70"/>
      <c r="D1325" s="70"/>
      <c r="E1325" s="70"/>
      <c r="F1325" s="70"/>
      <c r="G1325" s="70"/>
      <c r="H1325" s="70"/>
      <c r="I1325" s="70"/>
      <c r="J1325" s="70"/>
    </row>
    <row r="1326" spans="1:10" ht="16" x14ac:dyDescent="0.2">
      <c r="A1326" s="70"/>
      <c r="B1326" s="70"/>
      <c r="C1326" s="70"/>
      <c r="D1326" s="70"/>
      <c r="E1326" s="70"/>
      <c r="F1326" s="70"/>
      <c r="G1326" s="70"/>
      <c r="H1326" s="70"/>
      <c r="I1326" s="70"/>
      <c r="J1326" s="70"/>
    </row>
    <row r="1327" spans="1:10" ht="16" x14ac:dyDescent="0.2">
      <c r="A1327" s="70"/>
      <c r="B1327" s="70"/>
      <c r="C1327" s="70"/>
      <c r="D1327" s="70"/>
      <c r="E1327" s="70"/>
      <c r="F1327" s="70"/>
      <c r="G1327" s="70"/>
      <c r="H1327" s="70"/>
      <c r="I1327" s="70"/>
      <c r="J1327" s="70"/>
    </row>
    <row r="1328" spans="1:10" ht="16" x14ac:dyDescent="0.2">
      <c r="A1328" s="70"/>
      <c r="B1328" s="70"/>
      <c r="C1328" s="70"/>
      <c r="D1328" s="70"/>
      <c r="E1328" s="70"/>
      <c r="F1328" s="70"/>
      <c r="G1328" s="70"/>
      <c r="H1328" s="70"/>
      <c r="I1328" s="70"/>
      <c r="J1328" s="70"/>
    </row>
    <row r="1329" spans="1:10" ht="16" x14ac:dyDescent="0.2">
      <c r="A1329" s="70"/>
      <c r="B1329" s="70"/>
      <c r="C1329" s="70"/>
      <c r="D1329" s="70"/>
      <c r="E1329" s="70"/>
      <c r="F1329" s="70"/>
      <c r="G1329" s="70"/>
      <c r="H1329" s="70"/>
      <c r="I1329" s="70"/>
      <c r="J1329" s="70"/>
    </row>
    <row r="1330" spans="1:10" ht="16" x14ac:dyDescent="0.2">
      <c r="A1330" s="70"/>
      <c r="B1330" s="70"/>
      <c r="C1330" s="70"/>
      <c r="D1330" s="70"/>
      <c r="E1330" s="70"/>
      <c r="F1330" s="70"/>
      <c r="G1330" s="70"/>
      <c r="H1330" s="70"/>
      <c r="I1330" s="70"/>
      <c r="J1330" s="70"/>
    </row>
    <row r="1331" spans="1:10" ht="16" x14ac:dyDescent="0.2">
      <c r="A1331" s="70"/>
      <c r="B1331" s="70"/>
      <c r="C1331" s="70"/>
      <c r="D1331" s="70"/>
      <c r="E1331" s="70"/>
      <c r="F1331" s="70"/>
      <c r="G1331" s="70"/>
      <c r="H1331" s="70"/>
      <c r="I1331" s="70"/>
      <c r="J1331" s="70"/>
    </row>
    <row r="1332" spans="1:10" ht="16" x14ac:dyDescent="0.2">
      <c r="A1332" s="70"/>
      <c r="B1332" s="70"/>
      <c r="C1332" s="70"/>
      <c r="D1332" s="70"/>
      <c r="E1332" s="70"/>
      <c r="F1332" s="70"/>
      <c r="G1332" s="70"/>
      <c r="H1332" s="70"/>
      <c r="I1332" s="70"/>
      <c r="J1332" s="70"/>
    </row>
    <row r="1333" spans="1:10" ht="16" x14ac:dyDescent="0.2">
      <c r="A1333" s="70"/>
      <c r="B1333" s="70"/>
      <c r="C1333" s="70"/>
      <c r="D1333" s="70"/>
      <c r="E1333" s="70"/>
      <c r="F1333" s="70"/>
      <c r="G1333" s="70"/>
      <c r="H1333" s="70"/>
      <c r="I1333" s="70"/>
      <c r="J1333" s="70"/>
    </row>
    <row r="1334" spans="1:10" ht="16" x14ac:dyDescent="0.2">
      <c r="A1334" s="70"/>
      <c r="B1334" s="70"/>
      <c r="C1334" s="70"/>
      <c r="D1334" s="70"/>
      <c r="E1334" s="70"/>
      <c r="F1334" s="70"/>
      <c r="G1334" s="70"/>
      <c r="H1334" s="70"/>
      <c r="I1334" s="70"/>
      <c r="J1334" s="70"/>
    </row>
    <row r="1335" spans="1:10" ht="16" x14ac:dyDescent="0.2">
      <c r="A1335" s="70"/>
      <c r="B1335" s="70"/>
      <c r="C1335" s="70"/>
      <c r="D1335" s="70"/>
      <c r="E1335" s="70"/>
      <c r="F1335" s="70"/>
      <c r="G1335" s="70"/>
      <c r="H1335" s="70"/>
      <c r="I1335" s="70"/>
      <c r="J1335" s="70"/>
    </row>
    <row r="1336" spans="1:10" ht="16" x14ac:dyDescent="0.2">
      <c r="A1336" s="70"/>
      <c r="B1336" s="70"/>
      <c r="C1336" s="70"/>
      <c r="D1336" s="70"/>
      <c r="E1336" s="70"/>
      <c r="F1336" s="70"/>
      <c r="G1336" s="70"/>
      <c r="H1336" s="70"/>
      <c r="I1336" s="70"/>
      <c r="J1336" s="70"/>
    </row>
    <row r="1337" spans="1:10" ht="16" x14ac:dyDescent="0.2">
      <c r="A1337" s="70"/>
      <c r="B1337" s="70"/>
      <c r="C1337" s="70"/>
      <c r="D1337" s="70"/>
      <c r="E1337" s="70"/>
      <c r="F1337" s="70"/>
      <c r="G1337" s="70"/>
      <c r="H1337" s="70"/>
      <c r="I1337" s="70"/>
      <c r="J1337" s="70"/>
    </row>
    <row r="1338" spans="1:10" ht="16" x14ac:dyDescent="0.2">
      <c r="A1338" s="70"/>
      <c r="B1338" s="70"/>
      <c r="C1338" s="70"/>
      <c r="D1338" s="70"/>
      <c r="E1338" s="70"/>
      <c r="F1338" s="70"/>
      <c r="G1338" s="70"/>
      <c r="H1338" s="70"/>
      <c r="I1338" s="70"/>
      <c r="J1338" s="70"/>
    </row>
    <row r="1339" spans="1:10" ht="16" x14ac:dyDescent="0.2">
      <c r="A1339" s="70"/>
      <c r="B1339" s="70"/>
      <c r="C1339" s="70"/>
      <c r="D1339" s="70"/>
      <c r="E1339" s="70"/>
      <c r="F1339" s="70"/>
      <c r="G1339" s="70"/>
      <c r="H1339" s="70"/>
      <c r="I1339" s="70"/>
      <c r="J1339" s="70"/>
    </row>
    <row r="1340" spans="1:10" ht="16" x14ac:dyDescent="0.2">
      <c r="A1340" s="70"/>
      <c r="B1340" s="70"/>
      <c r="C1340" s="70"/>
      <c r="D1340" s="70"/>
      <c r="E1340" s="70"/>
      <c r="F1340" s="70"/>
      <c r="G1340" s="70"/>
      <c r="H1340" s="70"/>
      <c r="I1340" s="70"/>
      <c r="J1340" s="70"/>
    </row>
    <row r="1341" spans="1:10" ht="16" x14ac:dyDescent="0.2">
      <c r="A1341" s="70"/>
      <c r="B1341" s="70"/>
      <c r="C1341" s="70"/>
      <c r="D1341" s="70"/>
      <c r="E1341" s="70"/>
      <c r="F1341" s="70"/>
      <c r="G1341" s="70"/>
      <c r="H1341" s="70"/>
      <c r="I1341" s="70"/>
      <c r="J1341" s="70"/>
    </row>
    <row r="1342" spans="1:10" ht="16" x14ac:dyDescent="0.2">
      <c r="A1342" s="70"/>
      <c r="B1342" s="70"/>
      <c r="C1342" s="70"/>
      <c r="D1342" s="70"/>
      <c r="E1342" s="70"/>
      <c r="F1342" s="70"/>
      <c r="G1342" s="70"/>
      <c r="H1342" s="70"/>
      <c r="I1342" s="70"/>
      <c r="J1342" s="70"/>
    </row>
    <row r="1343" spans="1:10" ht="16" x14ac:dyDescent="0.2">
      <c r="A1343" s="70"/>
      <c r="B1343" s="70"/>
      <c r="C1343" s="70"/>
      <c r="D1343" s="70"/>
      <c r="E1343" s="70"/>
      <c r="F1343" s="70"/>
      <c r="G1343" s="70"/>
      <c r="H1343" s="70"/>
      <c r="I1343" s="70"/>
      <c r="J1343" s="70"/>
    </row>
    <row r="1344" spans="1:10" ht="16" x14ac:dyDescent="0.2">
      <c r="A1344" s="70"/>
      <c r="B1344" s="70"/>
      <c r="C1344" s="70"/>
      <c r="D1344" s="70"/>
      <c r="E1344" s="70"/>
      <c r="F1344" s="70"/>
      <c r="G1344" s="70"/>
      <c r="H1344" s="70"/>
      <c r="I1344" s="70"/>
      <c r="J1344" s="70"/>
    </row>
    <row r="1345" spans="1:10" ht="16" x14ac:dyDescent="0.2">
      <c r="A1345" s="70"/>
      <c r="B1345" s="70"/>
      <c r="C1345" s="70"/>
      <c r="D1345" s="70"/>
      <c r="E1345" s="70"/>
      <c r="F1345" s="70"/>
      <c r="G1345" s="70"/>
      <c r="H1345" s="70"/>
      <c r="I1345" s="70"/>
      <c r="J1345" s="70"/>
    </row>
    <row r="1346" spans="1:10" ht="16" x14ac:dyDescent="0.2">
      <c r="A1346" s="70"/>
      <c r="B1346" s="70"/>
      <c r="C1346" s="70"/>
      <c r="D1346" s="70"/>
      <c r="E1346" s="70"/>
      <c r="F1346" s="70"/>
      <c r="G1346" s="70"/>
      <c r="H1346" s="70"/>
      <c r="I1346" s="70"/>
      <c r="J1346" s="70"/>
    </row>
    <row r="1347" spans="1:10" ht="16" x14ac:dyDescent="0.2">
      <c r="A1347" s="70"/>
      <c r="B1347" s="70"/>
      <c r="C1347" s="70"/>
      <c r="D1347" s="70"/>
      <c r="E1347" s="70"/>
      <c r="F1347" s="70"/>
      <c r="G1347" s="70"/>
      <c r="H1347" s="70"/>
      <c r="I1347" s="70"/>
      <c r="J1347" s="70"/>
    </row>
    <row r="1348" spans="1:10" ht="16" x14ac:dyDescent="0.2">
      <c r="A1348" s="70"/>
      <c r="B1348" s="70"/>
      <c r="C1348" s="70"/>
      <c r="D1348" s="70"/>
      <c r="E1348" s="70"/>
      <c r="F1348" s="70"/>
      <c r="G1348" s="70"/>
      <c r="H1348" s="70"/>
      <c r="I1348" s="70"/>
      <c r="J1348" s="70"/>
    </row>
    <row r="1349" spans="1:10" ht="16" x14ac:dyDescent="0.2">
      <c r="A1349" s="70"/>
      <c r="B1349" s="70"/>
      <c r="C1349" s="70"/>
      <c r="D1349" s="70"/>
      <c r="E1349" s="70"/>
      <c r="F1349" s="70"/>
      <c r="G1349" s="70"/>
      <c r="H1349" s="70"/>
      <c r="I1349" s="70"/>
      <c r="J1349" s="70"/>
    </row>
    <row r="1350" spans="1:10" ht="16" x14ac:dyDescent="0.2">
      <c r="A1350" s="70"/>
      <c r="B1350" s="70"/>
      <c r="C1350" s="70"/>
      <c r="D1350" s="70"/>
      <c r="E1350" s="70"/>
      <c r="F1350" s="70"/>
      <c r="G1350" s="70"/>
      <c r="H1350" s="70"/>
      <c r="I1350" s="70"/>
      <c r="J1350" s="70"/>
    </row>
    <row r="1351" spans="1:10" ht="16" x14ac:dyDescent="0.2">
      <c r="A1351" s="70"/>
      <c r="B1351" s="70"/>
      <c r="C1351" s="70"/>
      <c r="D1351" s="70"/>
      <c r="E1351" s="70"/>
      <c r="F1351" s="70"/>
      <c r="G1351" s="70"/>
      <c r="H1351" s="70"/>
      <c r="I1351" s="70"/>
      <c r="J1351" s="70"/>
    </row>
    <row r="1352" spans="1:10" ht="16" x14ac:dyDescent="0.2">
      <c r="A1352" s="70"/>
      <c r="B1352" s="70"/>
      <c r="C1352" s="70"/>
      <c r="D1352" s="70"/>
      <c r="E1352" s="70"/>
      <c r="F1352" s="70"/>
      <c r="G1352" s="70"/>
      <c r="H1352" s="70"/>
      <c r="I1352" s="70"/>
      <c r="J1352" s="70"/>
    </row>
    <row r="1353" spans="1:10" ht="16" x14ac:dyDescent="0.2">
      <c r="A1353" s="70"/>
      <c r="B1353" s="70"/>
      <c r="C1353" s="70"/>
      <c r="D1353" s="70"/>
      <c r="E1353" s="70"/>
      <c r="F1353" s="70"/>
      <c r="G1353" s="70"/>
      <c r="H1353" s="70"/>
      <c r="I1353" s="70"/>
      <c r="J1353" s="70"/>
    </row>
    <row r="1354" spans="1:10" ht="16" x14ac:dyDescent="0.2">
      <c r="A1354" s="70"/>
      <c r="B1354" s="70"/>
      <c r="C1354" s="70"/>
      <c r="D1354" s="70"/>
      <c r="E1354" s="70"/>
      <c r="F1354" s="70"/>
      <c r="G1354" s="70"/>
      <c r="H1354" s="70"/>
      <c r="I1354" s="70"/>
      <c r="J1354" s="70"/>
    </row>
    <row r="1355" spans="1:10" ht="16" x14ac:dyDescent="0.2">
      <c r="A1355" s="70"/>
      <c r="B1355" s="70"/>
      <c r="C1355" s="70"/>
      <c r="D1355" s="70"/>
      <c r="E1355" s="70"/>
      <c r="F1355" s="70"/>
      <c r="G1355" s="70"/>
      <c r="H1355" s="70"/>
      <c r="I1355" s="70"/>
      <c r="J1355" s="70"/>
    </row>
    <row r="1356" spans="1:10" ht="16" x14ac:dyDescent="0.2">
      <c r="A1356" s="70"/>
      <c r="B1356" s="70"/>
      <c r="C1356" s="70"/>
      <c r="D1356" s="70"/>
      <c r="E1356" s="70"/>
      <c r="F1356" s="70"/>
      <c r="G1356" s="70"/>
      <c r="H1356" s="70"/>
      <c r="I1356" s="70"/>
      <c r="J1356" s="70"/>
    </row>
    <row r="1357" spans="1:10" ht="16" x14ac:dyDescent="0.2">
      <c r="A1357" s="70"/>
      <c r="B1357" s="70"/>
      <c r="C1357" s="70"/>
      <c r="D1357" s="70"/>
      <c r="E1357" s="70"/>
      <c r="F1357" s="70"/>
      <c r="G1357" s="70"/>
      <c r="H1357" s="70"/>
      <c r="I1357" s="70"/>
      <c r="J1357" s="70"/>
    </row>
    <row r="1358" spans="1:10" ht="16" x14ac:dyDescent="0.2">
      <c r="A1358" s="70"/>
      <c r="B1358" s="70"/>
      <c r="C1358" s="70"/>
      <c r="D1358" s="70"/>
      <c r="E1358" s="70"/>
      <c r="F1358" s="70"/>
      <c r="G1358" s="70"/>
      <c r="H1358" s="70"/>
      <c r="I1358" s="70"/>
      <c r="J1358" s="70"/>
    </row>
    <row r="1359" spans="1:10" ht="16" x14ac:dyDescent="0.2">
      <c r="A1359" s="70"/>
      <c r="B1359" s="70"/>
      <c r="C1359" s="70"/>
      <c r="D1359" s="70"/>
      <c r="E1359" s="70"/>
      <c r="F1359" s="70"/>
      <c r="G1359" s="70"/>
      <c r="H1359" s="70"/>
      <c r="I1359" s="70"/>
      <c r="J1359" s="70"/>
    </row>
    <row r="1360" spans="1:10" ht="16" x14ac:dyDescent="0.2">
      <c r="A1360" s="70"/>
      <c r="B1360" s="70"/>
      <c r="C1360" s="70"/>
      <c r="D1360" s="70"/>
      <c r="E1360" s="70"/>
      <c r="F1360" s="70"/>
      <c r="G1360" s="70"/>
      <c r="H1360" s="70"/>
      <c r="I1360" s="70"/>
      <c r="J1360" s="70"/>
    </row>
    <row r="1361" spans="1:10" ht="16" x14ac:dyDescent="0.2">
      <c r="A1361" s="70"/>
      <c r="B1361" s="70"/>
      <c r="C1361" s="70"/>
      <c r="D1361" s="70"/>
      <c r="E1361" s="70"/>
      <c r="F1361" s="70"/>
      <c r="G1361" s="70"/>
      <c r="H1361" s="70"/>
      <c r="I1361" s="70"/>
      <c r="J1361" s="70"/>
    </row>
    <row r="1362" spans="1:10" ht="16" x14ac:dyDescent="0.2">
      <c r="A1362" s="70"/>
      <c r="B1362" s="70"/>
      <c r="C1362" s="70"/>
      <c r="D1362" s="70"/>
      <c r="E1362" s="70"/>
      <c r="F1362" s="70"/>
      <c r="G1362" s="70"/>
      <c r="H1362" s="70"/>
      <c r="I1362" s="70"/>
      <c r="J1362" s="70"/>
    </row>
    <row r="1363" spans="1:10" ht="16" x14ac:dyDescent="0.2">
      <c r="A1363" s="70"/>
      <c r="B1363" s="70"/>
      <c r="C1363" s="70"/>
      <c r="D1363" s="70"/>
      <c r="E1363" s="70"/>
      <c r="F1363" s="70"/>
      <c r="G1363" s="70"/>
      <c r="H1363" s="70"/>
      <c r="I1363" s="70"/>
      <c r="J1363" s="70"/>
    </row>
    <row r="1364" spans="1:10" ht="16" x14ac:dyDescent="0.2">
      <c r="A1364" s="70"/>
      <c r="B1364" s="70"/>
      <c r="C1364" s="70"/>
      <c r="D1364" s="70"/>
      <c r="E1364" s="70"/>
      <c r="F1364" s="70"/>
      <c r="G1364" s="70"/>
      <c r="H1364" s="70"/>
      <c r="I1364" s="70"/>
      <c r="J1364" s="70"/>
    </row>
    <row r="1365" spans="1:10" ht="16" x14ac:dyDescent="0.2">
      <c r="A1365" s="70"/>
      <c r="B1365" s="70"/>
      <c r="C1365" s="70"/>
      <c r="D1365" s="70"/>
      <c r="E1365" s="70"/>
      <c r="F1365" s="70"/>
      <c r="G1365" s="70"/>
      <c r="H1365" s="70"/>
      <c r="I1365" s="70"/>
      <c r="J1365" s="70"/>
    </row>
    <row r="1366" spans="1:10" ht="16" x14ac:dyDescent="0.2">
      <c r="A1366" s="70"/>
      <c r="B1366" s="70"/>
      <c r="C1366" s="70"/>
      <c r="D1366" s="70"/>
      <c r="E1366" s="70"/>
      <c r="F1366" s="70"/>
      <c r="G1366" s="70"/>
      <c r="H1366" s="70"/>
      <c r="I1366" s="70"/>
      <c r="J1366" s="70"/>
    </row>
    <row r="1367" spans="1:10" ht="16" x14ac:dyDescent="0.2">
      <c r="A1367" s="70"/>
      <c r="B1367" s="70"/>
      <c r="C1367" s="70"/>
      <c r="D1367" s="70"/>
      <c r="E1367" s="70"/>
      <c r="F1367" s="70"/>
      <c r="G1367" s="70"/>
      <c r="H1367" s="70"/>
      <c r="I1367" s="70"/>
      <c r="J1367" s="70"/>
    </row>
    <row r="1368" spans="1:10" ht="16" x14ac:dyDescent="0.2">
      <c r="A1368" s="70"/>
      <c r="B1368" s="70"/>
      <c r="C1368" s="70"/>
      <c r="D1368" s="70"/>
      <c r="E1368" s="70"/>
      <c r="F1368" s="70"/>
      <c r="G1368" s="70"/>
      <c r="H1368" s="70"/>
      <c r="I1368" s="70"/>
      <c r="J1368" s="70"/>
    </row>
    <row r="1369" spans="1:10" ht="16" x14ac:dyDescent="0.2">
      <c r="A1369" s="70"/>
      <c r="B1369" s="70"/>
      <c r="C1369" s="70"/>
      <c r="D1369" s="70"/>
      <c r="E1369" s="70"/>
      <c r="F1369" s="70"/>
      <c r="G1369" s="70"/>
      <c r="H1369" s="70"/>
      <c r="I1369" s="70"/>
      <c r="J1369" s="70"/>
    </row>
    <row r="1370" spans="1:10" ht="16" x14ac:dyDescent="0.2">
      <c r="A1370" s="70"/>
      <c r="B1370" s="70"/>
      <c r="C1370" s="70"/>
      <c r="D1370" s="70"/>
      <c r="E1370" s="70"/>
      <c r="F1370" s="70"/>
      <c r="G1370" s="70"/>
      <c r="H1370" s="70"/>
      <c r="I1370" s="70"/>
      <c r="J1370" s="70"/>
    </row>
    <row r="1371" spans="1:10" ht="16" x14ac:dyDescent="0.2">
      <c r="A1371" s="70"/>
      <c r="B1371" s="70"/>
      <c r="C1371" s="70"/>
      <c r="D1371" s="70"/>
      <c r="E1371" s="70"/>
      <c r="F1371" s="70"/>
      <c r="G1371" s="70"/>
      <c r="H1371" s="70"/>
      <c r="I1371" s="70"/>
      <c r="J1371" s="70"/>
    </row>
    <row r="1372" spans="1:10" ht="16" x14ac:dyDescent="0.2">
      <c r="A1372" s="70"/>
      <c r="B1372" s="70"/>
      <c r="C1372" s="70"/>
      <c r="D1372" s="70"/>
      <c r="E1372" s="70"/>
      <c r="F1372" s="70"/>
      <c r="G1372" s="70"/>
      <c r="H1372" s="70"/>
      <c r="I1372" s="70"/>
      <c r="J1372" s="70"/>
    </row>
    <row r="1373" spans="1:10" ht="16" x14ac:dyDescent="0.2">
      <c r="A1373" s="70"/>
      <c r="B1373" s="70"/>
      <c r="C1373" s="70"/>
      <c r="D1373" s="70"/>
      <c r="E1373" s="70"/>
      <c r="F1373" s="70"/>
      <c r="G1373" s="70"/>
      <c r="H1373" s="70"/>
      <c r="I1373" s="70"/>
      <c r="J1373" s="70"/>
    </row>
    <row r="1374" spans="1:10" ht="16" x14ac:dyDescent="0.2">
      <c r="A1374" s="70"/>
      <c r="B1374" s="70"/>
      <c r="C1374" s="70"/>
      <c r="D1374" s="70"/>
      <c r="E1374" s="70"/>
      <c r="F1374" s="70"/>
      <c r="G1374" s="70"/>
      <c r="H1374" s="70"/>
      <c r="I1374" s="70"/>
      <c r="J1374" s="70"/>
    </row>
    <row r="1375" spans="1:10" ht="16" x14ac:dyDescent="0.2">
      <c r="A1375" s="70"/>
      <c r="B1375" s="70"/>
      <c r="C1375" s="70"/>
      <c r="D1375" s="70"/>
      <c r="E1375" s="70"/>
      <c r="F1375" s="70"/>
      <c r="G1375" s="70"/>
      <c r="H1375" s="70"/>
      <c r="I1375" s="70"/>
      <c r="J1375" s="70"/>
    </row>
    <row r="1376" spans="1:10" ht="16" x14ac:dyDescent="0.2">
      <c r="A1376" s="70"/>
      <c r="B1376" s="70"/>
      <c r="C1376" s="70"/>
      <c r="D1376" s="70"/>
      <c r="E1376" s="70"/>
      <c r="F1376" s="70"/>
      <c r="G1376" s="70"/>
      <c r="H1376" s="70"/>
      <c r="I1376" s="70"/>
      <c r="J1376" s="70"/>
    </row>
    <row r="1377" spans="1:10" ht="16" x14ac:dyDescent="0.2">
      <c r="A1377" s="70"/>
      <c r="B1377" s="70"/>
      <c r="C1377" s="70"/>
      <c r="D1377" s="70"/>
      <c r="E1377" s="70"/>
      <c r="F1377" s="70"/>
      <c r="G1377" s="70"/>
      <c r="H1377" s="70"/>
      <c r="I1377" s="70"/>
      <c r="J1377" s="70"/>
    </row>
    <row r="1378" spans="1:10" ht="16" x14ac:dyDescent="0.2">
      <c r="A1378" s="70"/>
      <c r="B1378" s="70"/>
      <c r="C1378" s="70"/>
      <c r="D1378" s="70"/>
      <c r="E1378" s="70"/>
      <c r="F1378" s="70"/>
      <c r="G1378" s="70"/>
      <c r="H1378" s="70"/>
      <c r="I1378" s="70"/>
      <c r="J1378" s="70"/>
    </row>
    <row r="1379" spans="1:10" ht="16" x14ac:dyDescent="0.2">
      <c r="A1379" s="70"/>
      <c r="B1379" s="70"/>
      <c r="C1379" s="70"/>
      <c r="D1379" s="70"/>
      <c r="E1379" s="70"/>
      <c r="F1379" s="70"/>
      <c r="G1379" s="70"/>
      <c r="H1379" s="70"/>
      <c r="I1379" s="70"/>
      <c r="J1379" s="70"/>
    </row>
    <row r="1380" spans="1:10" ht="16" x14ac:dyDescent="0.2">
      <c r="A1380" s="70"/>
      <c r="B1380" s="70"/>
      <c r="C1380" s="70"/>
      <c r="D1380" s="70"/>
      <c r="E1380" s="70"/>
      <c r="F1380" s="70"/>
      <c r="G1380" s="70"/>
      <c r="H1380" s="70"/>
      <c r="I1380" s="70"/>
      <c r="J1380" s="70"/>
    </row>
    <row r="1381" spans="1:10" ht="16" x14ac:dyDescent="0.2">
      <c r="A1381" s="70"/>
      <c r="B1381" s="70"/>
      <c r="C1381" s="70"/>
      <c r="D1381" s="70"/>
      <c r="E1381" s="70"/>
      <c r="F1381" s="70"/>
      <c r="G1381" s="70"/>
      <c r="H1381" s="70"/>
      <c r="I1381" s="70"/>
      <c r="J1381" s="70"/>
    </row>
    <row r="1382" spans="1:10" ht="16" x14ac:dyDescent="0.2">
      <c r="A1382" s="70"/>
      <c r="B1382" s="70"/>
      <c r="C1382" s="70"/>
      <c r="D1382" s="70"/>
      <c r="E1382" s="70"/>
      <c r="F1382" s="70"/>
      <c r="G1382" s="70"/>
      <c r="H1382" s="70"/>
      <c r="I1382" s="70"/>
      <c r="J1382" s="70"/>
    </row>
    <row r="1383" spans="1:10" ht="16" x14ac:dyDescent="0.2">
      <c r="A1383" s="70"/>
      <c r="B1383" s="70"/>
      <c r="C1383" s="70"/>
      <c r="D1383" s="70"/>
      <c r="E1383" s="70"/>
      <c r="F1383" s="70"/>
      <c r="G1383" s="70"/>
      <c r="H1383" s="70"/>
      <c r="I1383" s="70"/>
      <c r="J1383" s="70"/>
    </row>
    <row r="1384" spans="1:10" ht="16" x14ac:dyDescent="0.2">
      <c r="A1384" s="70"/>
      <c r="B1384" s="70"/>
      <c r="C1384" s="70"/>
      <c r="D1384" s="70"/>
      <c r="E1384" s="70"/>
      <c r="F1384" s="70"/>
      <c r="G1384" s="70"/>
      <c r="H1384" s="70"/>
      <c r="I1384" s="70"/>
      <c r="J1384" s="70"/>
    </row>
    <row r="1385" spans="1:10" ht="16" x14ac:dyDescent="0.2">
      <c r="A1385" s="70"/>
      <c r="B1385" s="70"/>
      <c r="C1385" s="70"/>
      <c r="D1385" s="70"/>
      <c r="E1385" s="70"/>
      <c r="F1385" s="70"/>
      <c r="G1385" s="70"/>
      <c r="H1385" s="70"/>
      <c r="I1385" s="70"/>
      <c r="J1385" s="70"/>
    </row>
    <row r="1386" spans="1:10" ht="16" x14ac:dyDescent="0.2">
      <c r="A1386" s="70"/>
      <c r="B1386" s="70"/>
      <c r="C1386" s="70"/>
      <c r="D1386" s="70"/>
      <c r="E1386" s="70"/>
      <c r="F1386" s="70"/>
      <c r="G1386" s="70"/>
      <c r="H1386" s="70"/>
      <c r="I1386" s="70"/>
      <c r="J1386" s="70"/>
    </row>
    <row r="1387" spans="1:10" ht="16" x14ac:dyDescent="0.2">
      <c r="A1387" s="70"/>
      <c r="B1387" s="70"/>
      <c r="C1387" s="70"/>
      <c r="D1387" s="70"/>
      <c r="E1387" s="70"/>
      <c r="F1387" s="70"/>
      <c r="G1387" s="70"/>
      <c r="H1387" s="70"/>
      <c r="I1387" s="70"/>
      <c r="J1387" s="70"/>
    </row>
    <row r="1388" spans="1:10" ht="16" x14ac:dyDescent="0.2">
      <c r="A1388" s="70"/>
      <c r="B1388" s="70"/>
      <c r="C1388" s="70"/>
      <c r="D1388" s="70"/>
      <c r="E1388" s="70"/>
      <c r="F1388" s="70"/>
      <c r="G1388" s="70"/>
      <c r="H1388" s="70"/>
      <c r="I1388" s="70"/>
      <c r="J1388" s="70"/>
    </row>
    <row r="1389" spans="1:10" ht="16" x14ac:dyDescent="0.2">
      <c r="A1389" s="70"/>
      <c r="B1389" s="70"/>
      <c r="C1389" s="70"/>
      <c r="D1389" s="70"/>
      <c r="E1389" s="70"/>
      <c r="F1389" s="70"/>
      <c r="G1389" s="70"/>
      <c r="H1389" s="70"/>
      <c r="I1389" s="70"/>
      <c r="J1389" s="70"/>
    </row>
    <row r="1390" spans="1:10" ht="16" x14ac:dyDescent="0.2">
      <c r="A1390" s="70"/>
      <c r="B1390" s="70"/>
      <c r="C1390" s="70"/>
      <c r="D1390" s="70"/>
      <c r="E1390" s="70"/>
      <c r="F1390" s="70"/>
      <c r="G1390" s="70"/>
      <c r="H1390" s="70"/>
      <c r="I1390" s="70"/>
      <c r="J1390" s="70"/>
    </row>
    <row r="1391" spans="1:10" ht="16" x14ac:dyDescent="0.2">
      <c r="A1391" s="70"/>
      <c r="B1391" s="70"/>
      <c r="C1391" s="70"/>
      <c r="D1391" s="70"/>
      <c r="E1391" s="70"/>
      <c r="F1391" s="70"/>
      <c r="G1391" s="70"/>
      <c r="H1391" s="70"/>
      <c r="I1391" s="70"/>
      <c r="J1391" s="70"/>
    </row>
    <row r="1392" spans="1:10" ht="16" x14ac:dyDescent="0.2">
      <c r="A1392" s="70"/>
      <c r="B1392" s="70"/>
      <c r="C1392" s="70"/>
      <c r="D1392" s="70"/>
      <c r="E1392" s="70"/>
      <c r="F1392" s="70"/>
      <c r="G1392" s="70"/>
      <c r="H1392" s="70"/>
      <c r="I1392" s="70"/>
      <c r="J1392" s="70"/>
    </row>
    <row r="1393" spans="1:10" ht="16" x14ac:dyDescent="0.2">
      <c r="A1393" s="70"/>
      <c r="B1393" s="70"/>
      <c r="C1393" s="70"/>
      <c r="D1393" s="70"/>
      <c r="E1393" s="70"/>
      <c r="F1393" s="70"/>
      <c r="G1393" s="70"/>
      <c r="H1393" s="70"/>
      <c r="I1393" s="70"/>
      <c r="J1393" s="70"/>
    </row>
    <row r="1394" spans="1:10" ht="16" x14ac:dyDescent="0.2">
      <c r="A1394" s="70"/>
      <c r="B1394" s="70"/>
      <c r="C1394" s="70"/>
      <c r="D1394" s="70"/>
      <c r="E1394" s="70"/>
      <c r="F1394" s="70"/>
      <c r="G1394" s="70"/>
      <c r="H1394" s="70"/>
      <c r="I1394" s="70"/>
      <c r="J1394" s="70"/>
    </row>
    <row r="1395" spans="1:10" ht="16" x14ac:dyDescent="0.2">
      <c r="A1395" s="70"/>
      <c r="B1395" s="70"/>
      <c r="C1395" s="70"/>
      <c r="D1395" s="70"/>
      <c r="E1395" s="70"/>
      <c r="F1395" s="70"/>
      <c r="G1395" s="70"/>
      <c r="H1395" s="70"/>
      <c r="I1395" s="70"/>
      <c r="J1395" s="70"/>
    </row>
    <row r="1396" spans="1:10" ht="16" x14ac:dyDescent="0.2">
      <c r="A1396" s="70"/>
      <c r="B1396" s="70"/>
      <c r="C1396" s="70"/>
      <c r="D1396" s="70"/>
      <c r="E1396" s="70"/>
      <c r="F1396" s="70"/>
      <c r="G1396" s="70"/>
      <c r="H1396" s="70"/>
      <c r="I1396" s="70"/>
      <c r="J1396" s="70"/>
    </row>
    <row r="1397" spans="1:10" ht="16" x14ac:dyDescent="0.2">
      <c r="A1397" s="70"/>
      <c r="B1397" s="70"/>
      <c r="C1397" s="70"/>
      <c r="D1397" s="70"/>
      <c r="E1397" s="70"/>
      <c r="F1397" s="70"/>
      <c r="G1397" s="70"/>
      <c r="H1397" s="70"/>
      <c r="I1397" s="70"/>
      <c r="J1397" s="70"/>
    </row>
    <row r="1398" spans="1:10" ht="16" x14ac:dyDescent="0.2">
      <c r="A1398" s="70"/>
      <c r="B1398" s="70"/>
      <c r="C1398" s="70"/>
      <c r="D1398" s="70"/>
      <c r="E1398" s="70"/>
      <c r="F1398" s="70"/>
      <c r="G1398" s="70"/>
      <c r="H1398" s="70"/>
      <c r="I1398" s="70"/>
      <c r="J1398" s="70"/>
    </row>
    <row r="1399" spans="1:10" ht="16" x14ac:dyDescent="0.2">
      <c r="A1399" s="70"/>
      <c r="B1399" s="70"/>
      <c r="C1399" s="70"/>
      <c r="D1399" s="70"/>
      <c r="E1399" s="70"/>
      <c r="F1399" s="70"/>
      <c r="G1399" s="70"/>
      <c r="H1399" s="70"/>
      <c r="I1399" s="70"/>
      <c r="J1399" s="70"/>
    </row>
    <row r="1400" spans="1:10" ht="16" x14ac:dyDescent="0.2">
      <c r="A1400" s="70"/>
      <c r="B1400" s="70"/>
      <c r="C1400" s="70"/>
      <c r="D1400" s="70"/>
      <c r="E1400" s="70"/>
      <c r="F1400" s="70"/>
      <c r="G1400" s="70"/>
      <c r="H1400" s="70"/>
      <c r="I1400" s="70"/>
      <c r="J1400" s="70"/>
    </row>
    <row r="1401" spans="1:10" ht="16" x14ac:dyDescent="0.2">
      <c r="A1401" s="70"/>
      <c r="B1401" s="70"/>
      <c r="C1401" s="70"/>
      <c r="D1401" s="70"/>
      <c r="E1401" s="70"/>
      <c r="F1401" s="70"/>
      <c r="G1401" s="70"/>
      <c r="H1401" s="70"/>
      <c r="I1401" s="70"/>
      <c r="J1401" s="70"/>
    </row>
    <row r="1402" spans="1:10" ht="16" x14ac:dyDescent="0.2">
      <c r="A1402" s="70"/>
      <c r="B1402" s="70"/>
      <c r="C1402" s="70"/>
      <c r="D1402" s="70"/>
      <c r="E1402" s="70"/>
      <c r="F1402" s="70"/>
      <c r="G1402" s="70"/>
      <c r="H1402" s="70"/>
      <c r="I1402" s="70"/>
      <c r="J1402" s="70"/>
    </row>
    <row r="1403" spans="1:10" ht="16" x14ac:dyDescent="0.2">
      <c r="A1403" s="70"/>
      <c r="B1403" s="70"/>
      <c r="C1403" s="70"/>
      <c r="D1403" s="70"/>
      <c r="E1403" s="70"/>
      <c r="F1403" s="70"/>
      <c r="G1403" s="70"/>
      <c r="H1403" s="70"/>
      <c r="I1403" s="70"/>
      <c r="J1403" s="70"/>
    </row>
    <row r="1404" spans="1:10" ht="16" x14ac:dyDescent="0.2">
      <c r="A1404" s="70"/>
      <c r="B1404" s="70"/>
      <c r="C1404" s="70"/>
      <c r="D1404" s="70"/>
      <c r="E1404" s="70"/>
      <c r="F1404" s="70"/>
      <c r="G1404" s="70"/>
      <c r="H1404" s="70"/>
      <c r="I1404" s="70"/>
      <c r="J1404" s="70"/>
    </row>
    <row r="1405" spans="1:10" ht="16" x14ac:dyDescent="0.2">
      <c r="A1405" s="70"/>
      <c r="B1405" s="70"/>
      <c r="C1405" s="70"/>
      <c r="D1405" s="70"/>
      <c r="E1405" s="70"/>
      <c r="F1405" s="70"/>
      <c r="G1405" s="70"/>
      <c r="H1405" s="70"/>
      <c r="I1405" s="70"/>
      <c r="J1405" s="70"/>
    </row>
    <row r="1406" spans="1:10" ht="16" x14ac:dyDescent="0.2">
      <c r="A1406" s="70"/>
      <c r="B1406" s="70"/>
      <c r="C1406" s="70"/>
      <c r="D1406" s="70"/>
      <c r="E1406" s="70"/>
      <c r="F1406" s="70"/>
      <c r="G1406" s="70"/>
      <c r="H1406" s="70"/>
      <c r="I1406" s="70"/>
      <c r="J1406" s="70"/>
    </row>
    <row r="1407" spans="1:10" ht="16" x14ac:dyDescent="0.2">
      <c r="A1407" s="70"/>
      <c r="B1407" s="70"/>
      <c r="C1407" s="70"/>
      <c r="D1407" s="70"/>
      <c r="E1407" s="70"/>
      <c r="F1407" s="70"/>
      <c r="G1407" s="70"/>
      <c r="H1407" s="70"/>
      <c r="I1407" s="70"/>
      <c r="J1407" s="70"/>
    </row>
    <row r="1408" spans="1:10" ht="16" x14ac:dyDescent="0.2">
      <c r="A1408" s="70"/>
      <c r="B1408" s="70"/>
      <c r="C1408" s="70"/>
      <c r="D1408" s="70"/>
      <c r="E1408" s="70"/>
      <c r="F1408" s="70"/>
      <c r="G1408" s="70"/>
      <c r="H1408" s="70"/>
      <c r="I1408" s="70"/>
      <c r="J1408" s="70"/>
    </row>
    <row r="1409" spans="1:10" ht="16" x14ac:dyDescent="0.2">
      <c r="A1409" s="70"/>
      <c r="B1409" s="70"/>
      <c r="C1409" s="70"/>
      <c r="D1409" s="70"/>
      <c r="E1409" s="70"/>
      <c r="F1409" s="70"/>
      <c r="G1409" s="70"/>
      <c r="H1409" s="70"/>
      <c r="I1409" s="70"/>
      <c r="J1409" s="70"/>
    </row>
    <row r="1410" spans="1:10" ht="16" x14ac:dyDescent="0.2">
      <c r="A1410" s="70"/>
      <c r="B1410" s="70"/>
      <c r="C1410" s="70"/>
      <c r="D1410" s="70"/>
      <c r="E1410" s="70"/>
      <c r="F1410" s="70"/>
      <c r="G1410" s="70"/>
      <c r="H1410" s="70"/>
      <c r="I1410" s="70"/>
      <c r="J1410" s="70"/>
    </row>
    <row r="1411" spans="1:10" ht="16" x14ac:dyDescent="0.2">
      <c r="A1411" s="70"/>
      <c r="B1411" s="70"/>
      <c r="C1411" s="70"/>
      <c r="D1411" s="70"/>
      <c r="E1411" s="70"/>
      <c r="F1411" s="70"/>
      <c r="G1411" s="70"/>
      <c r="H1411" s="70"/>
      <c r="I1411" s="70"/>
      <c r="J1411" s="70"/>
    </row>
    <row r="1412" spans="1:10" ht="16" x14ac:dyDescent="0.2">
      <c r="A1412" s="70"/>
      <c r="B1412" s="70"/>
      <c r="C1412" s="70"/>
      <c r="D1412" s="70"/>
      <c r="E1412" s="70"/>
      <c r="F1412" s="70"/>
      <c r="G1412" s="70"/>
      <c r="H1412" s="70"/>
      <c r="I1412" s="70"/>
      <c r="J1412" s="70"/>
    </row>
    <row r="1413" spans="1:10" ht="16" x14ac:dyDescent="0.2">
      <c r="A1413" s="70"/>
      <c r="B1413" s="70"/>
      <c r="C1413" s="70"/>
      <c r="D1413" s="70"/>
      <c r="E1413" s="70"/>
      <c r="F1413" s="70"/>
      <c r="G1413" s="70"/>
      <c r="H1413" s="70"/>
      <c r="I1413" s="70"/>
      <c r="J1413" s="70"/>
    </row>
    <row r="1414" spans="1:10" ht="16" x14ac:dyDescent="0.2">
      <c r="A1414" s="70"/>
      <c r="B1414" s="70"/>
      <c r="C1414" s="70"/>
      <c r="D1414" s="70"/>
      <c r="E1414" s="70"/>
      <c r="F1414" s="70"/>
      <c r="G1414" s="70"/>
      <c r="H1414" s="70"/>
      <c r="I1414" s="70"/>
      <c r="J1414" s="70"/>
    </row>
    <row r="1415" spans="1:10" ht="16" x14ac:dyDescent="0.2">
      <c r="A1415" s="70"/>
      <c r="B1415" s="70"/>
      <c r="C1415" s="70"/>
      <c r="D1415" s="70"/>
      <c r="E1415" s="70"/>
      <c r="F1415" s="70"/>
      <c r="G1415" s="70"/>
      <c r="H1415" s="70"/>
      <c r="I1415" s="70"/>
      <c r="J1415" s="70"/>
    </row>
    <row r="1416" spans="1:10" ht="16" x14ac:dyDescent="0.2">
      <c r="A1416" s="70"/>
      <c r="B1416" s="70"/>
      <c r="C1416" s="70"/>
      <c r="D1416" s="70"/>
      <c r="E1416" s="70"/>
      <c r="F1416" s="70"/>
      <c r="G1416" s="70"/>
      <c r="H1416" s="70"/>
      <c r="I1416" s="70"/>
      <c r="J1416" s="70"/>
    </row>
    <row r="1417" spans="1:10" ht="16" x14ac:dyDescent="0.2">
      <c r="A1417" s="70"/>
      <c r="B1417" s="70"/>
      <c r="C1417" s="70"/>
      <c r="D1417" s="70"/>
      <c r="E1417" s="70"/>
      <c r="F1417" s="70"/>
      <c r="G1417" s="70"/>
      <c r="H1417" s="70"/>
      <c r="I1417" s="70"/>
      <c r="J1417" s="70"/>
    </row>
    <row r="1418" spans="1:10" ht="16" x14ac:dyDescent="0.2">
      <c r="A1418" s="70"/>
      <c r="B1418" s="70"/>
      <c r="C1418" s="70"/>
      <c r="D1418" s="70"/>
      <c r="E1418" s="70"/>
      <c r="F1418" s="70"/>
      <c r="G1418" s="70"/>
      <c r="H1418" s="70"/>
      <c r="I1418" s="70"/>
      <c r="J1418" s="70"/>
    </row>
    <row r="1419" spans="1:10" ht="16" x14ac:dyDescent="0.2">
      <c r="A1419" s="70"/>
      <c r="B1419" s="70"/>
      <c r="C1419" s="70"/>
      <c r="D1419" s="70"/>
      <c r="E1419" s="70"/>
      <c r="F1419" s="70"/>
      <c r="G1419" s="70"/>
      <c r="H1419" s="70"/>
      <c r="I1419" s="70"/>
      <c r="J1419" s="70"/>
    </row>
    <row r="1420" spans="1:10" ht="16" x14ac:dyDescent="0.2">
      <c r="A1420" s="70"/>
      <c r="B1420" s="70"/>
      <c r="C1420" s="70"/>
      <c r="D1420" s="70"/>
      <c r="E1420" s="70"/>
      <c r="F1420" s="70"/>
      <c r="G1420" s="70"/>
      <c r="H1420" s="70"/>
      <c r="I1420" s="70"/>
      <c r="J1420" s="70"/>
    </row>
    <row r="1421" spans="1:10" ht="16" x14ac:dyDescent="0.2">
      <c r="A1421" s="70"/>
      <c r="B1421" s="70"/>
      <c r="C1421" s="70"/>
      <c r="D1421" s="70"/>
      <c r="E1421" s="70"/>
      <c r="F1421" s="70"/>
      <c r="G1421" s="70"/>
      <c r="H1421" s="70"/>
      <c r="I1421" s="70"/>
      <c r="J1421" s="70"/>
    </row>
    <row r="1422" spans="1:10" ht="16" x14ac:dyDescent="0.2">
      <c r="A1422" s="70"/>
      <c r="B1422" s="70"/>
      <c r="C1422" s="70"/>
      <c r="D1422" s="70"/>
      <c r="E1422" s="70"/>
      <c r="F1422" s="70"/>
      <c r="G1422" s="70"/>
      <c r="H1422" s="70"/>
      <c r="I1422" s="70"/>
      <c r="J1422" s="70"/>
    </row>
    <row r="1423" spans="1:10" ht="16" x14ac:dyDescent="0.2">
      <c r="A1423" s="70"/>
      <c r="B1423" s="70"/>
      <c r="C1423" s="70"/>
      <c r="D1423" s="70"/>
      <c r="E1423" s="70"/>
      <c r="F1423" s="70"/>
      <c r="G1423" s="70"/>
      <c r="H1423" s="70"/>
      <c r="I1423" s="70"/>
      <c r="J1423" s="70"/>
    </row>
    <row r="1424" spans="1:10" ht="16" x14ac:dyDescent="0.2">
      <c r="A1424" s="70"/>
      <c r="B1424" s="70"/>
      <c r="C1424" s="70"/>
      <c r="D1424" s="70"/>
      <c r="E1424" s="70"/>
      <c r="F1424" s="70"/>
      <c r="G1424" s="70"/>
      <c r="H1424" s="70"/>
      <c r="I1424" s="70"/>
      <c r="J1424" s="70"/>
    </row>
    <row r="1425" spans="1:10" ht="16" x14ac:dyDescent="0.2">
      <c r="A1425" s="70"/>
      <c r="B1425" s="70"/>
      <c r="C1425" s="70"/>
      <c r="D1425" s="70"/>
      <c r="E1425" s="70"/>
      <c r="F1425" s="70"/>
      <c r="G1425" s="70"/>
      <c r="H1425" s="70"/>
      <c r="I1425" s="70"/>
      <c r="J1425" s="70"/>
    </row>
    <row r="1426" spans="1:10" ht="16" x14ac:dyDescent="0.2">
      <c r="A1426" s="70"/>
      <c r="B1426" s="70"/>
      <c r="C1426" s="70"/>
      <c r="D1426" s="70"/>
      <c r="E1426" s="70"/>
      <c r="F1426" s="70"/>
      <c r="G1426" s="70"/>
      <c r="H1426" s="70"/>
      <c r="I1426" s="70"/>
      <c r="J1426" s="70"/>
    </row>
    <row r="1427" spans="1:10" ht="16" x14ac:dyDescent="0.2">
      <c r="A1427" s="70"/>
      <c r="B1427" s="70"/>
      <c r="C1427" s="70"/>
      <c r="D1427" s="70"/>
      <c r="E1427" s="70"/>
      <c r="F1427" s="70"/>
      <c r="G1427" s="70"/>
      <c r="H1427" s="70"/>
      <c r="I1427" s="70"/>
      <c r="J1427" s="70"/>
    </row>
    <row r="1428" spans="1:10" ht="16" x14ac:dyDescent="0.2">
      <c r="A1428" s="70"/>
      <c r="B1428" s="70"/>
      <c r="C1428" s="70"/>
      <c r="D1428" s="70"/>
      <c r="E1428" s="70"/>
      <c r="F1428" s="70"/>
      <c r="G1428" s="70"/>
      <c r="H1428" s="70"/>
      <c r="I1428" s="70"/>
      <c r="J1428" s="70"/>
    </row>
    <row r="1429" spans="1:10" ht="16" x14ac:dyDescent="0.2">
      <c r="A1429" s="70"/>
      <c r="B1429" s="70"/>
      <c r="C1429" s="70"/>
      <c r="D1429" s="70"/>
      <c r="E1429" s="70"/>
      <c r="F1429" s="70"/>
      <c r="G1429" s="70"/>
      <c r="H1429" s="70"/>
      <c r="I1429" s="70"/>
      <c r="J1429" s="70"/>
    </row>
    <row r="1430" spans="1:10" ht="16" x14ac:dyDescent="0.2">
      <c r="A1430" s="70"/>
      <c r="B1430" s="70"/>
      <c r="C1430" s="70"/>
      <c r="D1430" s="70"/>
      <c r="E1430" s="70"/>
      <c r="F1430" s="70"/>
      <c r="G1430" s="70"/>
      <c r="H1430" s="70"/>
      <c r="I1430" s="70"/>
      <c r="J1430" s="70"/>
    </row>
    <row r="1431" spans="1:10" ht="16" x14ac:dyDescent="0.2">
      <c r="A1431" s="70"/>
      <c r="B1431" s="70"/>
      <c r="C1431" s="70"/>
      <c r="D1431" s="70"/>
      <c r="E1431" s="70"/>
      <c r="F1431" s="70"/>
      <c r="G1431" s="70"/>
      <c r="H1431" s="70"/>
      <c r="I1431" s="70"/>
      <c r="J1431" s="70"/>
    </row>
    <row r="1432" spans="1:10" ht="16" x14ac:dyDescent="0.2">
      <c r="A1432" s="70"/>
      <c r="B1432" s="70"/>
      <c r="C1432" s="70"/>
      <c r="D1432" s="70"/>
      <c r="E1432" s="70"/>
      <c r="F1432" s="70"/>
      <c r="G1432" s="70"/>
      <c r="H1432" s="70"/>
      <c r="I1432" s="70"/>
      <c r="J1432" s="70"/>
    </row>
    <row r="1433" spans="1:10" ht="16" x14ac:dyDescent="0.2">
      <c r="A1433" s="70"/>
      <c r="B1433" s="70"/>
      <c r="C1433" s="70"/>
      <c r="D1433" s="70"/>
      <c r="E1433" s="70"/>
      <c r="F1433" s="70"/>
      <c r="G1433" s="70"/>
      <c r="H1433" s="70"/>
      <c r="I1433" s="70"/>
      <c r="J1433" s="70"/>
    </row>
    <row r="1434" spans="1:10" ht="16" x14ac:dyDescent="0.2">
      <c r="A1434" s="70"/>
      <c r="B1434" s="70"/>
      <c r="C1434" s="70"/>
      <c r="D1434" s="70"/>
      <c r="E1434" s="70"/>
      <c r="F1434" s="70"/>
      <c r="G1434" s="70"/>
      <c r="H1434" s="70"/>
      <c r="I1434" s="70"/>
      <c r="J1434" s="70"/>
    </row>
    <row r="1435" spans="1:10" ht="16" x14ac:dyDescent="0.2">
      <c r="A1435" s="70"/>
      <c r="B1435" s="70"/>
      <c r="C1435" s="70"/>
      <c r="D1435" s="70"/>
      <c r="E1435" s="70"/>
      <c r="F1435" s="70"/>
      <c r="G1435" s="70"/>
      <c r="H1435" s="70"/>
      <c r="I1435" s="70"/>
      <c r="J1435" s="70"/>
    </row>
    <row r="1436" spans="1:10" ht="16" x14ac:dyDescent="0.2">
      <c r="A1436" s="70"/>
      <c r="B1436" s="70"/>
      <c r="C1436" s="70"/>
      <c r="D1436" s="70"/>
      <c r="E1436" s="70"/>
      <c r="F1436" s="70"/>
      <c r="G1436" s="70"/>
      <c r="H1436" s="70"/>
      <c r="I1436" s="70"/>
      <c r="J1436" s="70"/>
    </row>
    <row r="1437" spans="1:10" ht="16" x14ac:dyDescent="0.2">
      <c r="A1437" s="70"/>
      <c r="B1437" s="70"/>
      <c r="C1437" s="70"/>
      <c r="D1437" s="70"/>
      <c r="E1437" s="70"/>
      <c r="F1437" s="70"/>
      <c r="G1437" s="70"/>
      <c r="H1437" s="70"/>
      <c r="I1437" s="70"/>
      <c r="J1437" s="70"/>
    </row>
    <row r="1438" spans="1:10" ht="16" x14ac:dyDescent="0.2">
      <c r="A1438" s="70"/>
      <c r="B1438" s="70"/>
      <c r="C1438" s="70"/>
      <c r="D1438" s="70"/>
      <c r="E1438" s="70"/>
      <c r="F1438" s="70"/>
      <c r="G1438" s="70"/>
      <c r="H1438" s="70"/>
      <c r="I1438" s="70"/>
      <c r="J1438" s="70"/>
    </row>
    <row r="1439" spans="1:10" ht="16" x14ac:dyDescent="0.2">
      <c r="A1439" s="70"/>
      <c r="B1439" s="70"/>
      <c r="C1439" s="70"/>
      <c r="D1439" s="70"/>
      <c r="E1439" s="70"/>
      <c r="F1439" s="70"/>
      <c r="G1439" s="70"/>
      <c r="H1439" s="70"/>
      <c r="I1439" s="70"/>
      <c r="J1439" s="70"/>
    </row>
    <row r="1440" spans="1:10" ht="16" x14ac:dyDescent="0.2">
      <c r="A1440" s="70"/>
      <c r="B1440" s="70"/>
      <c r="C1440" s="70"/>
      <c r="D1440" s="70"/>
      <c r="E1440" s="70"/>
      <c r="F1440" s="70"/>
      <c r="G1440" s="70"/>
      <c r="H1440" s="70"/>
      <c r="I1440" s="70"/>
      <c r="J1440" s="70"/>
    </row>
    <row r="1441" spans="1:10" ht="16" x14ac:dyDescent="0.2">
      <c r="A1441" s="70"/>
      <c r="B1441" s="70"/>
      <c r="C1441" s="70"/>
      <c r="D1441" s="70"/>
      <c r="E1441" s="70"/>
      <c r="F1441" s="70"/>
      <c r="G1441" s="70"/>
      <c r="H1441" s="70"/>
      <c r="I1441" s="70"/>
      <c r="J1441" s="70"/>
    </row>
    <row r="1442" spans="1:10" ht="16" x14ac:dyDescent="0.2">
      <c r="A1442" s="70"/>
      <c r="B1442" s="70"/>
      <c r="C1442" s="70"/>
      <c r="D1442" s="70"/>
      <c r="E1442" s="70"/>
      <c r="F1442" s="70"/>
      <c r="G1442" s="70"/>
      <c r="H1442" s="70"/>
      <c r="I1442" s="70"/>
      <c r="J1442" s="70"/>
    </row>
    <row r="1443" spans="1:10" ht="16" x14ac:dyDescent="0.2">
      <c r="A1443" s="70"/>
      <c r="B1443" s="70"/>
      <c r="C1443" s="70"/>
      <c r="D1443" s="70"/>
      <c r="E1443" s="70"/>
      <c r="F1443" s="70"/>
      <c r="G1443" s="70"/>
      <c r="H1443" s="70"/>
      <c r="I1443" s="70"/>
      <c r="J1443" s="70"/>
    </row>
    <row r="1444" spans="1:10" ht="16" x14ac:dyDescent="0.2">
      <c r="A1444" s="70"/>
      <c r="B1444" s="70"/>
      <c r="C1444" s="70"/>
      <c r="D1444" s="70"/>
      <c r="E1444" s="70"/>
      <c r="F1444" s="70"/>
      <c r="G1444" s="70"/>
      <c r="H1444" s="70"/>
      <c r="I1444" s="70"/>
      <c r="J1444" s="70"/>
    </row>
    <row r="1445" spans="1:10" ht="16" x14ac:dyDescent="0.2">
      <c r="A1445" s="70"/>
      <c r="B1445" s="70"/>
      <c r="C1445" s="70"/>
      <c r="D1445" s="70"/>
      <c r="E1445" s="70"/>
      <c r="F1445" s="70"/>
      <c r="G1445" s="70"/>
      <c r="H1445" s="70"/>
      <c r="I1445" s="70"/>
      <c r="J1445" s="70"/>
    </row>
    <row r="1446" spans="1:10" ht="16" x14ac:dyDescent="0.2">
      <c r="A1446" s="70"/>
      <c r="B1446" s="70"/>
      <c r="C1446" s="70"/>
      <c r="D1446" s="70"/>
      <c r="E1446" s="70"/>
      <c r="F1446" s="70"/>
      <c r="G1446" s="70"/>
      <c r="H1446" s="70"/>
      <c r="I1446" s="70"/>
      <c r="J1446" s="70"/>
    </row>
    <row r="1447" spans="1:10" ht="16" x14ac:dyDescent="0.2">
      <c r="A1447" s="70"/>
      <c r="B1447" s="70"/>
      <c r="C1447" s="70"/>
      <c r="D1447" s="70"/>
      <c r="E1447" s="70"/>
      <c r="F1447" s="70"/>
      <c r="G1447" s="70"/>
      <c r="H1447" s="70"/>
      <c r="I1447" s="70"/>
      <c r="J1447" s="70"/>
    </row>
    <row r="1448" spans="1:10" ht="16" x14ac:dyDescent="0.2">
      <c r="A1448" s="70"/>
      <c r="B1448" s="70"/>
      <c r="C1448" s="70"/>
      <c r="D1448" s="70"/>
      <c r="E1448" s="70"/>
      <c r="F1448" s="70"/>
      <c r="G1448" s="70"/>
      <c r="H1448" s="70"/>
      <c r="I1448" s="70"/>
      <c r="J1448" s="70"/>
    </row>
    <row r="1449" spans="1:10" ht="16" x14ac:dyDescent="0.2">
      <c r="A1449" s="70"/>
      <c r="B1449" s="70"/>
      <c r="C1449" s="70"/>
      <c r="D1449" s="70"/>
      <c r="E1449" s="70"/>
      <c r="F1449" s="70"/>
      <c r="G1449" s="70"/>
      <c r="H1449" s="70"/>
      <c r="I1449" s="70"/>
      <c r="J1449" s="70"/>
    </row>
    <row r="1450" spans="1:10" ht="16" x14ac:dyDescent="0.2">
      <c r="A1450" s="70"/>
      <c r="B1450" s="70"/>
      <c r="C1450" s="70"/>
      <c r="D1450" s="70"/>
      <c r="E1450" s="70"/>
      <c r="F1450" s="70"/>
      <c r="G1450" s="70"/>
      <c r="H1450" s="70"/>
      <c r="I1450" s="70"/>
      <c r="J1450" s="70"/>
    </row>
    <row r="1451" spans="1:10" ht="16" x14ac:dyDescent="0.2">
      <c r="A1451" s="70"/>
      <c r="B1451" s="70"/>
      <c r="C1451" s="70"/>
      <c r="D1451" s="70"/>
      <c r="E1451" s="70"/>
      <c r="F1451" s="70"/>
      <c r="G1451" s="70"/>
      <c r="H1451" s="70"/>
      <c r="I1451" s="70"/>
      <c r="J1451" s="70"/>
    </row>
    <row r="1452" spans="1:10" ht="16" x14ac:dyDescent="0.2">
      <c r="A1452" s="70"/>
      <c r="B1452" s="70"/>
      <c r="C1452" s="70"/>
      <c r="D1452" s="70"/>
      <c r="E1452" s="70"/>
      <c r="F1452" s="70"/>
      <c r="G1452" s="70"/>
      <c r="H1452" s="70"/>
      <c r="I1452" s="70"/>
      <c r="J1452" s="70"/>
    </row>
    <row r="1453" spans="1:10" ht="16" x14ac:dyDescent="0.2">
      <c r="A1453" s="70"/>
      <c r="B1453" s="70"/>
      <c r="C1453" s="70"/>
      <c r="D1453" s="70"/>
      <c r="E1453" s="70"/>
      <c r="F1453" s="70"/>
      <c r="G1453" s="70"/>
      <c r="H1453" s="70"/>
      <c r="I1453" s="70"/>
      <c r="J1453" s="70"/>
    </row>
    <row r="1454" spans="1:10" ht="16" x14ac:dyDescent="0.2">
      <c r="A1454" s="70"/>
      <c r="B1454" s="70"/>
      <c r="C1454" s="70"/>
      <c r="D1454" s="70"/>
      <c r="E1454" s="70"/>
      <c r="F1454" s="70"/>
      <c r="G1454" s="70"/>
      <c r="H1454" s="70"/>
      <c r="I1454" s="70"/>
      <c r="J1454" s="70"/>
    </row>
    <row r="1455" spans="1:10" ht="16" x14ac:dyDescent="0.2">
      <c r="A1455" s="70"/>
      <c r="B1455" s="70"/>
      <c r="C1455" s="70"/>
      <c r="D1455" s="70"/>
      <c r="E1455" s="70"/>
      <c r="F1455" s="70"/>
      <c r="G1455" s="70"/>
      <c r="H1455" s="70"/>
      <c r="I1455" s="70"/>
      <c r="J1455" s="70"/>
    </row>
    <row r="1456" spans="1:10" ht="16" x14ac:dyDescent="0.2">
      <c r="A1456" s="70"/>
      <c r="B1456" s="70"/>
      <c r="C1456" s="70"/>
      <c r="D1456" s="70"/>
      <c r="E1456" s="70"/>
      <c r="F1456" s="70"/>
      <c r="G1456" s="70"/>
      <c r="H1456" s="70"/>
      <c r="I1456" s="70"/>
      <c r="J1456" s="70"/>
    </row>
    <row r="1457" spans="1:10" ht="16" x14ac:dyDescent="0.2">
      <c r="A1457" s="70"/>
      <c r="B1457" s="70"/>
      <c r="C1457" s="70"/>
      <c r="D1457" s="70"/>
      <c r="E1457" s="70"/>
      <c r="F1457" s="70"/>
      <c r="G1457" s="70"/>
      <c r="H1457" s="70"/>
      <c r="I1457" s="70"/>
      <c r="J1457" s="70"/>
    </row>
    <row r="1458" spans="1:10" ht="16" x14ac:dyDescent="0.2">
      <c r="A1458" s="70"/>
      <c r="B1458" s="70"/>
      <c r="C1458" s="70"/>
      <c r="D1458" s="70"/>
      <c r="E1458" s="70"/>
      <c r="F1458" s="70"/>
      <c r="G1458" s="70"/>
      <c r="H1458" s="70"/>
      <c r="I1458" s="70"/>
      <c r="J1458" s="70"/>
    </row>
    <row r="1459" spans="1:10" ht="16" x14ac:dyDescent="0.2">
      <c r="A1459" s="70"/>
      <c r="B1459" s="70"/>
      <c r="C1459" s="70"/>
      <c r="D1459" s="70"/>
      <c r="E1459" s="70"/>
      <c r="F1459" s="70"/>
      <c r="G1459" s="70"/>
      <c r="H1459" s="70"/>
      <c r="I1459" s="70"/>
      <c r="J1459" s="70"/>
    </row>
    <row r="1460" spans="1:10" ht="16" x14ac:dyDescent="0.2">
      <c r="A1460" s="70"/>
      <c r="B1460" s="70"/>
      <c r="C1460" s="70"/>
      <c r="D1460" s="70"/>
      <c r="E1460" s="70"/>
      <c r="F1460" s="70"/>
      <c r="G1460" s="70"/>
      <c r="H1460" s="70"/>
      <c r="I1460" s="70"/>
      <c r="J1460" s="70"/>
    </row>
    <row r="1461" spans="1:10" ht="16" x14ac:dyDescent="0.2">
      <c r="A1461" s="70"/>
      <c r="B1461" s="70"/>
      <c r="C1461" s="70"/>
      <c r="D1461" s="70"/>
      <c r="E1461" s="70"/>
      <c r="F1461" s="70"/>
      <c r="G1461" s="70"/>
      <c r="H1461" s="70"/>
      <c r="I1461" s="70"/>
      <c r="J1461" s="70"/>
    </row>
    <row r="1462" spans="1:10" ht="16" x14ac:dyDescent="0.2">
      <c r="A1462" s="70"/>
      <c r="B1462" s="70"/>
      <c r="C1462" s="70"/>
      <c r="D1462" s="70"/>
      <c r="E1462" s="70"/>
      <c r="F1462" s="70"/>
      <c r="G1462" s="70"/>
      <c r="H1462" s="70"/>
      <c r="I1462" s="70"/>
      <c r="J1462" s="70"/>
    </row>
    <row r="1463" spans="1:10" ht="16" x14ac:dyDescent="0.2">
      <c r="A1463" s="70"/>
      <c r="B1463" s="70"/>
      <c r="C1463" s="70"/>
      <c r="D1463" s="70"/>
      <c r="E1463" s="70"/>
      <c r="F1463" s="70"/>
      <c r="G1463" s="70"/>
      <c r="H1463" s="70"/>
      <c r="I1463" s="70"/>
      <c r="J1463" s="70"/>
    </row>
    <row r="1464" spans="1:10" ht="16" x14ac:dyDescent="0.2">
      <c r="A1464" s="70"/>
      <c r="B1464" s="70"/>
      <c r="C1464" s="70"/>
      <c r="D1464" s="70"/>
      <c r="E1464" s="70"/>
      <c r="F1464" s="70"/>
      <c r="G1464" s="70"/>
      <c r="H1464" s="70"/>
      <c r="I1464" s="70"/>
      <c r="J1464" s="70"/>
    </row>
    <row r="1465" spans="1:10" ht="16" x14ac:dyDescent="0.2">
      <c r="A1465" s="70"/>
      <c r="B1465" s="70"/>
      <c r="C1465" s="70"/>
      <c r="D1465" s="70"/>
      <c r="E1465" s="70"/>
      <c r="F1465" s="70"/>
      <c r="G1465" s="70"/>
      <c r="H1465" s="70"/>
      <c r="I1465" s="70"/>
      <c r="J1465" s="70"/>
    </row>
    <row r="1466" spans="1:10" ht="16" x14ac:dyDescent="0.2">
      <c r="A1466" s="70"/>
      <c r="B1466" s="70"/>
      <c r="C1466" s="70"/>
      <c r="D1466" s="70"/>
      <c r="E1466" s="70"/>
      <c r="F1466" s="70"/>
      <c r="G1466" s="70"/>
      <c r="H1466" s="70"/>
      <c r="I1466" s="70"/>
      <c r="J1466" s="70"/>
    </row>
    <row r="1467" spans="1:10" ht="16" x14ac:dyDescent="0.2">
      <c r="A1467" s="70"/>
      <c r="B1467" s="70"/>
      <c r="C1467" s="70"/>
      <c r="D1467" s="70"/>
      <c r="E1467" s="70"/>
      <c r="F1467" s="70"/>
      <c r="G1467" s="70"/>
      <c r="H1467" s="70"/>
      <c r="I1467" s="70"/>
      <c r="J1467" s="70"/>
    </row>
    <row r="1468" spans="1:10" ht="16" x14ac:dyDescent="0.2">
      <c r="A1468" s="70"/>
      <c r="B1468" s="70"/>
      <c r="C1468" s="70"/>
      <c r="D1468" s="70"/>
      <c r="E1468" s="70"/>
      <c r="F1468" s="70"/>
      <c r="G1468" s="70"/>
      <c r="H1468" s="70"/>
      <c r="I1468" s="70"/>
      <c r="J1468" s="70"/>
    </row>
    <row r="1469" spans="1:10" ht="16" x14ac:dyDescent="0.2">
      <c r="A1469" s="70"/>
      <c r="B1469" s="70"/>
      <c r="C1469" s="70"/>
      <c r="D1469" s="70"/>
      <c r="E1469" s="70"/>
      <c r="F1469" s="70"/>
      <c r="G1469" s="70"/>
      <c r="H1469" s="70"/>
      <c r="I1469" s="70"/>
      <c r="J1469" s="70"/>
    </row>
    <row r="1470" spans="1:10" ht="16" x14ac:dyDescent="0.2">
      <c r="A1470" s="70"/>
      <c r="B1470" s="70"/>
      <c r="C1470" s="70"/>
      <c r="D1470" s="70"/>
      <c r="E1470" s="70"/>
      <c r="F1470" s="70"/>
      <c r="G1470" s="70"/>
      <c r="H1470" s="70"/>
      <c r="I1470" s="70"/>
      <c r="J1470" s="70"/>
    </row>
    <row r="1471" spans="1:10" ht="16" x14ac:dyDescent="0.2">
      <c r="A1471" s="70"/>
      <c r="B1471" s="70"/>
      <c r="C1471" s="70"/>
      <c r="D1471" s="70"/>
      <c r="E1471" s="70"/>
      <c r="F1471" s="70"/>
      <c r="G1471" s="70"/>
      <c r="H1471" s="70"/>
      <c r="I1471" s="70"/>
      <c r="J1471" s="70"/>
    </row>
    <row r="1472" spans="1:10" ht="16" x14ac:dyDescent="0.2">
      <c r="A1472" s="70"/>
      <c r="B1472" s="70"/>
      <c r="C1472" s="70"/>
      <c r="D1472" s="70"/>
      <c r="E1472" s="70"/>
      <c r="F1472" s="70"/>
      <c r="G1472" s="70"/>
      <c r="H1472" s="70"/>
      <c r="I1472" s="70"/>
      <c r="J1472" s="70"/>
    </row>
    <row r="1473" spans="1:10" ht="16" x14ac:dyDescent="0.2">
      <c r="A1473" s="70"/>
      <c r="B1473" s="70"/>
      <c r="C1473" s="70"/>
      <c r="D1473" s="70"/>
      <c r="E1473" s="70"/>
      <c r="F1473" s="70"/>
      <c r="G1473" s="70"/>
      <c r="H1473" s="70"/>
      <c r="I1473" s="70"/>
      <c r="J1473" s="70"/>
    </row>
    <row r="1474" spans="1:10" ht="16" x14ac:dyDescent="0.2">
      <c r="A1474" s="70"/>
      <c r="B1474" s="70"/>
      <c r="C1474" s="70"/>
      <c r="D1474" s="70"/>
      <c r="E1474" s="70"/>
      <c r="F1474" s="70"/>
      <c r="G1474" s="70"/>
      <c r="H1474" s="70"/>
      <c r="I1474" s="70"/>
      <c r="J1474" s="70"/>
    </row>
    <row r="1475" spans="1:10" ht="16" x14ac:dyDescent="0.2">
      <c r="A1475" s="70"/>
      <c r="B1475" s="70"/>
      <c r="C1475" s="70"/>
      <c r="D1475" s="70"/>
      <c r="E1475" s="70"/>
      <c r="F1475" s="70"/>
      <c r="G1475" s="70"/>
      <c r="H1475" s="70"/>
      <c r="I1475" s="70"/>
      <c r="J1475" s="70"/>
    </row>
    <row r="1476" spans="1:10" ht="16" x14ac:dyDescent="0.2">
      <c r="A1476" s="70"/>
      <c r="B1476" s="70"/>
      <c r="C1476" s="70"/>
      <c r="D1476" s="70"/>
      <c r="E1476" s="70"/>
      <c r="F1476" s="70"/>
      <c r="G1476" s="70"/>
      <c r="H1476" s="70"/>
      <c r="I1476" s="70"/>
      <c r="J1476" s="70"/>
    </row>
    <row r="1477" spans="1:10" ht="16" x14ac:dyDescent="0.2">
      <c r="A1477" s="70"/>
      <c r="B1477" s="70"/>
      <c r="C1477" s="70"/>
      <c r="D1477" s="70"/>
      <c r="E1477" s="70"/>
      <c r="F1477" s="70"/>
      <c r="G1477" s="70"/>
      <c r="H1477" s="70"/>
      <c r="I1477" s="70"/>
      <c r="J1477" s="70"/>
    </row>
    <row r="1478" spans="1:10" ht="16" x14ac:dyDescent="0.2">
      <c r="A1478" s="70"/>
      <c r="B1478" s="70"/>
      <c r="C1478" s="70"/>
      <c r="D1478" s="70"/>
      <c r="E1478" s="70"/>
      <c r="F1478" s="70"/>
      <c r="G1478" s="70"/>
      <c r="H1478" s="70"/>
      <c r="I1478" s="70"/>
      <c r="J1478" s="70"/>
    </row>
    <row r="1479" spans="1:10" ht="16" x14ac:dyDescent="0.2">
      <c r="A1479" s="70"/>
      <c r="B1479" s="70"/>
      <c r="C1479" s="70"/>
      <c r="D1479" s="70"/>
      <c r="E1479" s="70"/>
      <c r="F1479" s="70"/>
      <c r="G1479" s="70"/>
      <c r="H1479" s="70"/>
      <c r="I1479" s="70"/>
      <c r="J1479" s="70"/>
    </row>
    <row r="1480" spans="1:10" ht="16" x14ac:dyDescent="0.2">
      <c r="A1480" s="70"/>
      <c r="B1480" s="70"/>
      <c r="C1480" s="70"/>
      <c r="D1480" s="70"/>
      <c r="E1480" s="70"/>
      <c r="F1480" s="70"/>
      <c r="G1480" s="70"/>
      <c r="H1480" s="70"/>
      <c r="I1480" s="70"/>
      <c r="J1480" s="70"/>
    </row>
    <row r="1481" spans="1:10" ht="16" x14ac:dyDescent="0.2">
      <c r="A1481" s="70"/>
      <c r="B1481" s="70"/>
      <c r="C1481" s="70"/>
      <c r="D1481" s="70"/>
      <c r="E1481" s="70"/>
      <c r="F1481" s="70"/>
      <c r="G1481" s="70"/>
      <c r="H1481" s="70"/>
      <c r="I1481" s="70"/>
      <c r="J1481" s="70"/>
    </row>
    <row r="1482" spans="1:10" ht="16" x14ac:dyDescent="0.2">
      <c r="A1482" s="70"/>
      <c r="B1482" s="70"/>
      <c r="C1482" s="70"/>
      <c r="D1482" s="70"/>
      <c r="E1482" s="70"/>
      <c r="F1482" s="70"/>
      <c r="G1482" s="70"/>
      <c r="H1482" s="70"/>
      <c r="I1482" s="70"/>
      <c r="J1482" s="70"/>
    </row>
    <row r="1483" spans="1:10" ht="16" x14ac:dyDescent="0.2">
      <c r="A1483" s="70"/>
      <c r="B1483" s="70"/>
      <c r="C1483" s="70"/>
      <c r="D1483" s="70"/>
      <c r="E1483" s="70"/>
      <c r="F1483" s="70"/>
      <c r="G1483" s="70"/>
      <c r="H1483" s="70"/>
      <c r="I1483" s="70"/>
      <c r="J1483" s="70"/>
    </row>
    <row r="1484" spans="1:10" ht="16" x14ac:dyDescent="0.2">
      <c r="A1484" s="70"/>
      <c r="B1484" s="70"/>
      <c r="C1484" s="70"/>
      <c r="D1484" s="70"/>
      <c r="E1484" s="70"/>
      <c r="F1484" s="70"/>
      <c r="G1484" s="70"/>
      <c r="H1484" s="70"/>
      <c r="I1484" s="70"/>
      <c r="J1484" s="70"/>
    </row>
    <row r="1485" spans="1:10" ht="16" x14ac:dyDescent="0.2">
      <c r="A1485" s="70"/>
      <c r="B1485" s="70"/>
      <c r="C1485" s="70"/>
      <c r="D1485" s="70"/>
      <c r="E1485" s="70"/>
      <c r="F1485" s="70"/>
      <c r="G1485" s="70"/>
      <c r="H1485" s="70"/>
      <c r="I1485" s="70"/>
      <c r="J1485" s="70"/>
    </row>
    <row r="1486" spans="1:10" ht="16" x14ac:dyDescent="0.2">
      <c r="A1486" s="70"/>
      <c r="B1486" s="70"/>
      <c r="C1486" s="70"/>
      <c r="D1486" s="70"/>
      <c r="E1486" s="70"/>
      <c r="F1486" s="70"/>
      <c r="G1486" s="70"/>
      <c r="H1486" s="70"/>
      <c r="I1486" s="70"/>
      <c r="J1486" s="70"/>
    </row>
    <row r="1487" spans="1:10" ht="16" x14ac:dyDescent="0.2">
      <c r="A1487" s="70"/>
      <c r="B1487" s="70"/>
      <c r="C1487" s="70"/>
      <c r="D1487" s="70"/>
      <c r="E1487" s="70"/>
      <c r="F1487" s="70"/>
      <c r="G1487" s="70"/>
      <c r="H1487" s="70"/>
      <c r="I1487" s="70"/>
      <c r="J1487" s="70"/>
    </row>
    <row r="1488" spans="1:10" ht="16" x14ac:dyDescent="0.2">
      <c r="A1488" s="70"/>
      <c r="B1488" s="70"/>
      <c r="C1488" s="70"/>
      <c r="D1488" s="70"/>
      <c r="E1488" s="70"/>
      <c r="F1488" s="70"/>
      <c r="G1488" s="70"/>
      <c r="H1488" s="70"/>
      <c r="I1488" s="70"/>
      <c r="J1488" s="70"/>
    </row>
    <row r="1489" spans="1:10" ht="16" x14ac:dyDescent="0.2">
      <c r="A1489" s="70"/>
      <c r="B1489" s="70"/>
      <c r="C1489" s="70"/>
      <c r="D1489" s="70"/>
      <c r="E1489" s="70"/>
      <c r="F1489" s="70"/>
      <c r="G1489" s="70"/>
      <c r="H1489" s="70"/>
      <c r="I1489" s="70"/>
      <c r="J1489" s="70"/>
    </row>
    <row r="1490" spans="1:10" ht="16" x14ac:dyDescent="0.2">
      <c r="A1490" s="70"/>
      <c r="B1490" s="70"/>
      <c r="C1490" s="70"/>
      <c r="D1490" s="70"/>
      <c r="E1490" s="70"/>
      <c r="F1490" s="70"/>
      <c r="G1490" s="70"/>
      <c r="H1490" s="70"/>
      <c r="I1490" s="70"/>
      <c r="J1490" s="70"/>
    </row>
    <row r="1491" spans="1:10" ht="16" x14ac:dyDescent="0.2">
      <c r="A1491" s="70"/>
      <c r="B1491" s="70"/>
      <c r="C1491" s="70"/>
      <c r="D1491" s="70"/>
      <c r="E1491" s="70"/>
      <c r="F1491" s="70"/>
      <c r="G1491" s="70"/>
      <c r="H1491" s="70"/>
      <c r="I1491" s="70"/>
      <c r="J1491" s="70"/>
    </row>
    <row r="1492" spans="1:10" ht="16" x14ac:dyDescent="0.2">
      <c r="A1492" s="70"/>
      <c r="B1492" s="70"/>
      <c r="C1492" s="70"/>
      <c r="D1492" s="70"/>
      <c r="E1492" s="70"/>
      <c r="F1492" s="70"/>
      <c r="G1492" s="70"/>
      <c r="H1492" s="70"/>
      <c r="I1492" s="70"/>
      <c r="J1492" s="70"/>
    </row>
    <row r="1493" spans="1:10" ht="16" x14ac:dyDescent="0.2">
      <c r="A1493" s="70"/>
      <c r="B1493" s="70"/>
      <c r="C1493" s="70"/>
      <c r="D1493" s="70"/>
      <c r="E1493" s="70"/>
      <c r="F1493" s="70"/>
      <c r="G1493" s="70"/>
      <c r="H1493" s="70"/>
      <c r="I1493" s="70"/>
      <c r="J1493" s="70"/>
    </row>
    <row r="1494" spans="1:10" ht="16" x14ac:dyDescent="0.2">
      <c r="A1494" s="70"/>
      <c r="B1494" s="70"/>
      <c r="C1494" s="70"/>
      <c r="D1494" s="70"/>
      <c r="E1494" s="70"/>
      <c r="F1494" s="70"/>
      <c r="G1494" s="70"/>
      <c r="H1494" s="70"/>
      <c r="I1494" s="70"/>
      <c r="J1494" s="70"/>
    </row>
    <row r="1495" spans="1:10" ht="16" x14ac:dyDescent="0.2">
      <c r="A1495" s="70"/>
      <c r="B1495" s="70"/>
      <c r="C1495" s="70"/>
      <c r="D1495" s="70"/>
      <c r="E1495" s="70"/>
      <c r="F1495" s="70"/>
      <c r="G1495" s="70"/>
      <c r="H1495" s="70"/>
      <c r="I1495" s="70"/>
      <c r="J1495" s="70"/>
    </row>
    <row r="1496" spans="1:10" ht="16" x14ac:dyDescent="0.2">
      <c r="A1496" s="70"/>
      <c r="B1496" s="70"/>
      <c r="C1496" s="70"/>
      <c r="D1496" s="70"/>
      <c r="E1496" s="70"/>
      <c r="F1496" s="70"/>
      <c r="G1496" s="70"/>
      <c r="H1496" s="70"/>
      <c r="I1496" s="70"/>
      <c r="J1496" s="70"/>
    </row>
    <row r="1497" spans="1:10" ht="16" x14ac:dyDescent="0.2">
      <c r="A1497" s="70"/>
      <c r="B1497" s="70"/>
      <c r="C1497" s="70"/>
      <c r="D1497" s="70"/>
      <c r="E1497" s="70"/>
      <c r="F1497" s="70"/>
      <c r="G1497" s="70"/>
      <c r="H1497" s="70"/>
      <c r="I1497" s="70"/>
      <c r="J1497" s="70"/>
    </row>
    <row r="1498" spans="1:10" ht="16" x14ac:dyDescent="0.2">
      <c r="A1498" s="70"/>
      <c r="B1498" s="70"/>
      <c r="C1498" s="70"/>
      <c r="D1498" s="70"/>
      <c r="E1498" s="70"/>
      <c r="F1498" s="70"/>
      <c r="G1498" s="70"/>
      <c r="H1498" s="70"/>
      <c r="I1498" s="70"/>
      <c r="J1498" s="70"/>
    </row>
    <row r="1499" spans="1:10" ht="16" x14ac:dyDescent="0.2">
      <c r="A1499" s="70"/>
      <c r="B1499" s="70"/>
      <c r="C1499" s="70"/>
      <c r="D1499" s="70"/>
      <c r="E1499" s="70"/>
      <c r="F1499" s="70"/>
      <c r="G1499" s="70"/>
      <c r="H1499" s="70"/>
      <c r="I1499" s="70"/>
      <c r="J1499" s="70"/>
    </row>
    <row r="1500" spans="1:10" ht="16" x14ac:dyDescent="0.2">
      <c r="A1500" s="70"/>
      <c r="B1500" s="70"/>
      <c r="C1500" s="70"/>
      <c r="D1500" s="70"/>
      <c r="E1500" s="70"/>
      <c r="F1500" s="70"/>
      <c r="G1500" s="70"/>
      <c r="H1500" s="70"/>
      <c r="I1500" s="70"/>
      <c r="J1500" s="70"/>
    </row>
    <row r="1501" spans="1:10" ht="16" x14ac:dyDescent="0.2">
      <c r="A1501" s="70"/>
      <c r="B1501" s="70"/>
      <c r="C1501" s="70"/>
      <c r="D1501" s="70"/>
      <c r="E1501" s="70"/>
      <c r="F1501" s="70"/>
      <c r="G1501" s="70"/>
      <c r="H1501" s="70"/>
      <c r="I1501" s="70"/>
      <c r="J1501" s="70"/>
    </row>
    <row r="1502" spans="1:10" ht="16" x14ac:dyDescent="0.2">
      <c r="A1502" s="70"/>
      <c r="B1502" s="70"/>
      <c r="C1502" s="70"/>
      <c r="D1502" s="70"/>
      <c r="E1502" s="70"/>
      <c r="F1502" s="70"/>
      <c r="G1502" s="70"/>
      <c r="H1502" s="70"/>
      <c r="I1502" s="70"/>
      <c r="J1502" s="70"/>
    </row>
    <row r="1503" spans="1:10" ht="16" x14ac:dyDescent="0.2">
      <c r="A1503" s="70"/>
      <c r="B1503" s="70"/>
      <c r="C1503" s="70"/>
      <c r="D1503" s="70"/>
      <c r="E1503" s="70"/>
      <c r="F1503" s="70"/>
      <c r="G1503" s="70"/>
      <c r="H1503" s="70"/>
      <c r="I1503" s="70"/>
      <c r="J1503" s="70"/>
    </row>
    <row r="1504" spans="1:10" ht="16" x14ac:dyDescent="0.2">
      <c r="A1504" s="70"/>
      <c r="B1504" s="70"/>
      <c r="C1504" s="70"/>
      <c r="D1504" s="70"/>
      <c r="E1504" s="70"/>
      <c r="F1504" s="70"/>
      <c r="G1504" s="70"/>
      <c r="H1504" s="70"/>
      <c r="I1504" s="70"/>
      <c r="J1504" s="70"/>
    </row>
    <row r="1505" spans="1:10" ht="16" x14ac:dyDescent="0.2">
      <c r="A1505" s="70"/>
      <c r="B1505" s="70"/>
      <c r="C1505" s="70"/>
      <c r="D1505" s="70"/>
      <c r="E1505" s="70"/>
      <c r="F1505" s="70"/>
      <c r="G1505" s="70"/>
      <c r="H1505" s="70"/>
      <c r="I1505" s="70"/>
      <c r="J1505" s="70"/>
    </row>
    <row r="1506" spans="1:10" ht="16" x14ac:dyDescent="0.2">
      <c r="A1506" s="70"/>
      <c r="B1506" s="70"/>
      <c r="C1506" s="70"/>
      <c r="D1506" s="70"/>
      <c r="E1506" s="70"/>
      <c r="F1506" s="70"/>
      <c r="G1506" s="70"/>
      <c r="H1506" s="70"/>
      <c r="I1506" s="70"/>
      <c r="J1506" s="70"/>
    </row>
    <row r="1507" spans="1:10" ht="16" x14ac:dyDescent="0.2">
      <c r="A1507" s="70"/>
      <c r="B1507" s="70"/>
      <c r="C1507" s="70"/>
      <c r="D1507" s="70"/>
      <c r="E1507" s="70"/>
      <c r="F1507" s="70"/>
      <c r="G1507" s="70"/>
      <c r="H1507" s="70"/>
      <c r="I1507" s="70"/>
      <c r="J1507" s="70"/>
    </row>
    <row r="1508" spans="1:10" ht="16" x14ac:dyDescent="0.2">
      <c r="A1508" s="70"/>
      <c r="B1508" s="70"/>
      <c r="C1508" s="70"/>
      <c r="D1508" s="70"/>
      <c r="E1508" s="70"/>
      <c r="F1508" s="70"/>
      <c r="G1508" s="70"/>
      <c r="H1508" s="70"/>
      <c r="I1508" s="70"/>
      <c r="J1508" s="70"/>
    </row>
    <row r="1509" spans="1:10" ht="16" x14ac:dyDescent="0.2">
      <c r="A1509" s="70"/>
      <c r="B1509" s="70"/>
      <c r="C1509" s="70"/>
      <c r="D1509" s="70"/>
      <c r="E1509" s="70"/>
      <c r="F1509" s="70"/>
      <c r="G1509" s="70"/>
      <c r="H1509" s="70"/>
      <c r="I1509" s="70"/>
      <c r="J1509" s="70"/>
    </row>
    <row r="1510" spans="1:10" ht="16" x14ac:dyDescent="0.2">
      <c r="A1510" s="70"/>
      <c r="B1510" s="70"/>
      <c r="C1510" s="70"/>
      <c r="D1510" s="70"/>
      <c r="E1510" s="70"/>
      <c r="F1510" s="70"/>
      <c r="G1510" s="70"/>
      <c r="H1510" s="70"/>
      <c r="I1510" s="70"/>
      <c r="J1510" s="70"/>
    </row>
    <row r="1511" spans="1:10" ht="16" x14ac:dyDescent="0.2">
      <c r="A1511" s="70"/>
      <c r="B1511" s="70"/>
      <c r="C1511" s="70"/>
      <c r="D1511" s="70"/>
      <c r="E1511" s="70"/>
      <c r="F1511" s="70"/>
      <c r="G1511" s="70"/>
      <c r="H1511" s="70"/>
      <c r="I1511" s="70"/>
      <c r="J1511" s="70"/>
    </row>
    <row r="1512" spans="1:10" ht="16" x14ac:dyDescent="0.2">
      <c r="A1512" s="70"/>
      <c r="B1512" s="70"/>
      <c r="C1512" s="70"/>
      <c r="D1512" s="70"/>
      <c r="E1512" s="70"/>
      <c r="F1512" s="70"/>
      <c r="G1512" s="70"/>
      <c r="H1512" s="70"/>
      <c r="I1512" s="70"/>
      <c r="J1512" s="70"/>
    </row>
    <row r="1513" spans="1:10" ht="16" x14ac:dyDescent="0.2">
      <c r="A1513" s="70"/>
      <c r="B1513" s="70"/>
      <c r="C1513" s="70"/>
      <c r="D1513" s="70"/>
      <c r="E1513" s="70"/>
      <c r="F1513" s="70"/>
      <c r="G1513" s="70"/>
      <c r="H1513" s="70"/>
      <c r="I1513" s="70"/>
      <c r="J1513" s="70"/>
    </row>
    <row r="1514" spans="1:10" ht="16" x14ac:dyDescent="0.2">
      <c r="A1514" s="70"/>
      <c r="B1514" s="70"/>
      <c r="C1514" s="70"/>
      <c r="D1514" s="70"/>
      <c r="E1514" s="70"/>
      <c r="F1514" s="70"/>
      <c r="G1514" s="70"/>
      <c r="H1514" s="70"/>
      <c r="I1514" s="70"/>
      <c r="J1514" s="70"/>
    </row>
    <row r="1515" spans="1:10" ht="16" x14ac:dyDescent="0.2">
      <c r="A1515" s="70"/>
      <c r="B1515" s="70"/>
      <c r="C1515" s="70"/>
      <c r="D1515" s="70"/>
      <c r="E1515" s="70"/>
      <c r="F1515" s="70"/>
      <c r="G1515" s="70"/>
      <c r="H1515" s="70"/>
      <c r="I1515" s="70"/>
      <c r="J1515" s="70"/>
    </row>
    <row r="1516" spans="1:10" ht="16" x14ac:dyDescent="0.2">
      <c r="A1516" s="70"/>
      <c r="B1516" s="70"/>
      <c r="C1516" s="70"/>
      <c r="D1516" s="70"/>
      <c r="E1516" s="70"/>
      <c r="F1516" s="70"/>
      <c r="G1516" s="70"/>
      <c r="H1516" s="70"/>
      <c r="I1516" s="70"/>
      <c r="J1516" s="70"/>
    </row>
    <row r="1517" spans="1:10" ht="16" x14ac:dyDescent="0.2">
      <c r="A1517" s="70"/>
      <c r="B1517" s="70"/>
      <c r="C1517" s="70"/>
      <c r="D1517" s="70"/>
      <c r="E1517" s="70"/>
      <c r="F1517" s="70"/>
      <c r="G1517" s="70"/>
      <c r="H1517" s="70"/>
      <c r="I1517" s="70"/>
      <c r="J1517" s="70"/>
    </row>
    <row r="1518" spans="1:10" ht="16" x14ac:dyDescent="0.2">
      <c r="A1518" s="70"/>
      <c r="B1518" s="70"/>
      <c r="C1518" s="70"/>
      <c r="D1518" s="70"/>
      <c r="E1518" s="70"/>
      <c r="F1518" s="70"/>
      <c r="G1518" s="70"/>
      <c r="H1518" s="70"/>
      <c r="I1518" s="70"/>
      <c r="J1518" s="70"/>
    </row>
    <row r="1519" spans="1:10" ht="16" x14ac:dyDescent="0.2">
      <c r="A1519" s="70"/>
      <c r="B1519" s="70"/>
      <c r="C1519" s="70"/>
      <c r="D1519" s="70"/>
      <c r="E1519" s="70"/>
      <c r="F1519" s="70"/>
      <c r="G1519" s="70"/>
      <c r="H1519" s="70"/>
      <c r="I1519" s="70"/>
      <c r="J1519" s="70"/>
    </row>
    <row r="1520" spans="1:10" ht="16" x14ac:dyDescent="0.2">
      <c r="A1520" s="70"/>
      <c r="B1520" s="70"/>
      <c r="C1520" s="70"/>
      <c r="D1520" s="70"/>
      <c r="E1520" s="70"/>
      <c r="F1520" s="70"/>
      <c r="G1520" s="70"/>
      <c r="H1520" s="70"/>
      <c r="I1520" s="70"/>
      <c r="J1520" s="70"/>
    </row>
    <row r="1521" spans="1:10" ht="16" x14ac:dyDescent="0.2">
      <c r="A1521" s="70"/>
      <c r="B1521" s="70"/>
      <c r="C1521" s="70"/>
      <c r="D1521" s="70"/>
      <c r="E1521" s="70"/>
      <c r="F1521" s="70"/>
      <c r="G1521" s="70"/>
      <c r="H1521" s="70"/>
      <c r="I1521" s="70"/>
      <c r="J1521" s="70"/>
    </row>
    <row r="1522" spans="1:10" ht="16" x14ac:dyDescent="0.2">
      <c r="A1522" s="70"/>
      <c r="B1522" s="70"/>
      <c r="C1522" s="70"/>
      <c r="D1522" s="70"/>
      <c r="E1522" s="70"/>
      <c r="F1522" s="70"/>
      <c r="G1522" s="70"/>
      <c r="H1522" s="70"/>
      <c r="I1522" s="70"/>
      <c r="J1522" s="70"/>
    </row>
    <row r="1523" spans="1:10" ht="16" x14ac:dyDescent="0.2">
      <c r="A1523" s="70"/>
      <c r="B1523" s="70"/>
      <c r="C1523" s="70"/>
      <c r="D1523" s="70"/>
      <c r="E1523" s="70"/>
      <c r="F1523" s="70"/>
      <c r="G1523" s="70"/>
      <c r="H1523" s="70"/>
      <c r="I1523" s="70"/>
      <c r="J1523" s="70"/>
    </row>
    <row r="1524" spans="1:10" ht="16" x14ac:dyDescent="0.2">
      <c r="A1524" s="70"/>
      <c r="B1524" s="70"/>
      <c r="C1524" s="70"/>
      <c r="D1524" s="70"/>
      <c r="E1524" s="70"/>
      <c r="F1524" s="70"/>
      <c r="G1524" s="70"/>
      <c r="H1524" s="70"/>
      <c r="I1524" s="70"/>
      <c r="J1524" s="70"/>
    </row>
    <row r="1525" spans="1:10" ht="16" x14ac:dyDescent="0.2">
      <c r="A1525" s="70"/>
      <c r="B1525" s="70"/>
      <c r="C1525" s="70"/>
      <c r="D1525" s="70"/>
      <c r="E1525" s="70"/>
      <c r="F1525" s="70"/>
      <c r="G1525" s="70"/>
      <c r="H1525" s="70"/>
      <c r="I1525" s="70"/>
      <c r="J1525" s="70"/>
    </row>
    <row r="1526" spans="1:10" ht="16" x14ac:dyDescent="0.2">
      <c r="A1526" s="70"/>
      <c r="B1526" s="70"/>
      <c r="C1526" s="70"/>
      <c r="D1526" s="70"/>
      <c r="E1526" s="70"/>
      <c r="F1526" s="70"/>
      <c r="G1526" s="70"/>
      <c r="H1526" s="70"/>
      <c r="I1526" s="70"/>
      <c r="J1526" s="70"/>
    </row>
    <row r="1527" spans="1:10" ht="16" x14ac:dyDescent="0.2">
      <c r="A1527" s="70"/>
      <c r="B1527" s="70"/>
      <c r="C1527" s="70"/>
      <c r="D1527" s="70"/>
      <c r="E1527" s="70"/>
      <c r="F1527" s="70"/>
      <c r="G1527" s="70"/>
      <c r="H1527" s="70"/>
      <c r="I1527" s="70"/>
      <c r="J1527" s="70"/>
    </row>
    <row r="1528" spans="1:10" ht="16" x14ac:dyDescent="0.2">
      <c r="A1528" s="70"/>
      <c r="B1528" s="70"/>
      <c r="C1528" s="70"/>
      <c r="D1528" s="70"/>
      <c r="E1528" s="70"/>
      <c r="F1528" s="70"/>
      <c r="G1528" s="70"/>
      <c r="H1528" s="70"/>
      <c r="I1528" s="70"/>
      <c r="J1528" s="70"/>
    </row>
    <row r="1529" spans="1:10" ht="16" x14ac:dyDescent="0.2">
      <c r="A1529" s="70"/>
      <c r="B1529" s="70"/>
      <c r="C1529" s="70"/>
      <c r="D1529" s="70"/>
      <c r="E1529" s="70"/>
      <c r="F1529" s="70"/>
      <c r="G1529" s="70"/>
      <c r="H1529" s="70"/>
      <c r="I1529" s="70"/>
      <c r="J1529" s="70"/>
    </row>
    <row r="1530" spans="1:10" ht="16" x14ac:dyDescent="0.2">
      <c r="A1530" s="70"/>
      <c r="B1530" s="70"/>
      <c r="C1530" s="70"/>
      <c r="D1530" s="70"/>
      <c r="E1530" s="70"/>
      <c r="F1530" s="70"/>
      <c r="G1530" s="70"/>
      <c r="H1530" s="70"/>
      <c r="I1530" s="70"/>
      <c r="J1530" s="70"/>
    </row>
    <row r="1531" spans="1:10" ht="16" x14ac:dyDescent="0.2">
      <c r="A1531" s="70"/>
      <c r="B1531" s="70"/>
      <c r="C1531" s="70"/>
      <c r="D1531" s="70"/>
      <c r="E1531" s="70"/>
      <c r="F1531" s="70"/>
      <c r="G1531" s="70"/>
      <c r="H1531" s="70"/>
      <c r="I1531" s="70"/>
      <c r="J1531" s="70"/>
    </row>
    <row r="1532" spans="1:10" ht="16" x14ac:dyDescent="0.2">
      <c r="A1532" s="70"/>
      <c r="B1532" s="70"/>
      <c r="C1532" s="70"/>
      <c r="D1532" s="70"/>
      <c r="E1532" s="70"/>
      <c r="F1532" s="70"/>
      <c r="G1532" s="70"/>
      <c r="H1532" s="70"/>
      <c r="I1532" s="70"/>
      <c r="J1532" s="70"/>
    </row>
    <row r="1533" spans="1:10" ht="16" x14ac:dyDescent="0.2">
      <c r="A1533" s="70"/>
      <c r="B1533" s="70"/>
      <c r="C1533" s="70"/>
      <c r="D1533" s="70"/>
      <c r="E1533" s="70"/>
      <c r="F1533" s="70"/>
      <c r="G1533" s="70"/>
      <c r="H1533" s="70"/>
      <c r="I1533" s="70"/>
      <c r="J1533" s="70"/>
    </row>
    <row r="1534" spans="1:10" ht="16" x14ac:dyDescent="0.2">
      <c r="A1534" s="70"/>
      <c r="B1534" s="70"/>
      <c r="C1534" s="70"/>
      <c r="D1534" s="70"/>
      <c r="E1534" s="70"/>
      <c r="F1534" s="70"/>
      <c r="G1534" s="70"/>
      <c r="H1534" s="70"/>
      <c r="I1534" s="70"/>
      <c r="J1534" s="70"/>
    </row>
    <row r="1535" spans="1:10" ht="16" x14ac:dyDescent="0.2">
      <c r="A1535" s="70"/>
      <c r="B1535" s="70"/>
      <c r="C1535" s="70"/>
      <c r="D1535" s="70"/>
      <c r="E1535" s="70"/>
      <c r="F1535" s="70"/>
      <c r="G1535" s="70"/>
      <c r="H1535" s="70"/>
      <c r="I1535" s="70"/>
      <c r="J1535" s="70"/>
    </row>
    <row r="1536" spans="1:10" ht="16" x14ac:dyDescent="0.2">
      <c r="A1536" s="70"/>
      <c r="B1536" s="70"/>
      <c r="C1536" s="70"/>
      <c r="D1536" s="70"/>
      <c r="E1536" s="70"/>
      <c r="F1536" s="70"/>
      <c r="G1536" s="70"/>
      <c r="H1536" s="70"/>
      <c r="I1536" s="70"/>
      <c r="J1536" s="70"/>
    </row>
    <row r="1537" spans="1:10" ht="16" x14ac:dyDescent="0.2">
      <c r="A1537" s="70"/>
      <c r="B1537" s="70"/>
      <c r="C1537" s="70"/>
      <c r="D1537" s="70"/>
      <c r="E1537" s="70"/>
      <c r="F1537" s="70"/>
      <c r="G1537" s="70"/>
      <c r="H1537" s="70"/>
      <c r="I1537" s="70"/>
      <c r="J1537" s="70"/>
    </row>
    <row r="1538" spans="1:10" ht="16" x14ac:dyDescent="0.2">
      <c r="A1538" s="70"/>
      <c r="B1538" s="70"/>
      <c r="C1538" s="70"/>
      <c r="D1538" s="70"/>
      <c r="E1538" s="70"/>
      <c r="F1538" s="70"/>
      <c r="G1538" s="70"/>
      <c r="H1538" s="70"/>
      <c r="I1538" s="70"/>
      <c r="J1538" s="70"/>
    </row>
    <row r="1539" spans="1:10" ht="16" x14ac:dyDescent="0.2">
      <c r="A1539" s="70"/>
      <c r="B1539" s="70"/>
      <c r="C1539" s="70"/>
      <c r="D1539" s="70"/>
      <c r="E1539" s="70"/>
      <c r="F1539" s="70"/>
      <c r="G1539" s="70"/>
      <c r="H1539" s="70"/>
      <c r="I1539" s="70"/>
      <c r="J1539" s="70"/>
    </row>
    <row r="1540" spans="1:10" ht="16" x14ac:dyDescent="0.2">
      <c r="A1540" s="70"/>
      <c r="B1540" s="70"/>
      <c r="C1540" s="70"/>
      <c r="D1540" s="70"/>
      <c r="E1540" s="70"/>
      <c r="F1540" s="70"/>
      <c r="G1540" s="70"/>
      <c r="H1540" s="70"/>
      <c r="I1540" s="70"/>
      <c r="J1540" s="70"/>
    </row>
    <row r="1541" spans="1:10" ht="16" x14ac:dyDescent="0.2">
      <c r="A1541" s="70"/>
      <c r="B1541" s="70"/>
      <c r="C1541" s="70"/>
      <c r="D1541" s="70"/>
      <c r="E1541" s="70"/>
      <c r="F1541" s="70"/>
      <c r="G1541" s="70"/>
      <c r="H1541" s="70"/>
      <c r="I1541" s="70"/>
      <c r="J1541" s="70"/>
    </row>
    <row r="1542" spans="1:10" ht="16" x14ac:dyDescent="0.2">
      <c r="A1542" s="70"/>
      <c r="B1542" s="70"/>
      <c r="C1542" s="70"/>
      <c r="D1542" s="70"/>
      <c r="E1542" s="70"/>
      <c r="F1542" s="70"/>
      <c r="G1542" s="70"/>
      <c r="H1542" s="70"/>
      <c r="I1542" s="70"/>
      <c r="J1542" s="70"/>
    </row>
    <row r="1543" spans="1:10" ht="16" x14ac:dyDescent="0.2">
      <c r="A1543" s="70"/>
      <c r="B1543" s="70"/>
      <c r="C1543" s="70"/>
      <c r="D1543" s="70"/>
      <c r="E1543" s="70"/>
      <c r="F1543" s="70"/>
      <c r="G1543" s="70"/>
      <c r="H1543" s="70"/>
      <c r="I1543" s="70"/>
      <c r="J1543" s="70"/>
    </row>
    <row r="1544" spans="1:10" ht="16" x14ac:dyDescent="0.2">
      <c r="A1544" s="70"/>
      <c r="B1544" s="70"/>
      <c r="C1544" s="70"/>
      <c r="D1544" s="70"/>
      <c r="E1544" s="70"/>
      <c r="F1544" s="70"/>
      <c r="G1544" s="70"/>
      <c r="H1544" s="70"/>
      <c r="I1544" s="70"/>
      <c r="J1544" s="70"/>
    </row>
    <row r="1545" spans="1:10" ht="16" x14ac:dyDescent="0.2">
      <c r="A1545" s="70"/>
      <c r="B1545" s="70"/>
      <c r="C1545" s="70"/>
      <c r="D1545" s="70"/>
      <c r="E1545" s="70"/>
      <c r="F1545" s="70"/>
      <c r="G1545" s="70"/>
      <c r="H1545" s="70"/>
      <c r="I1545" s="70"/>
      <c r="J1545" s="70"/>
    </row>
    <row r="1546" spans="1:10" ht="16" x14ac:dyDescent="0.2">
      <c r="A1546" s="70"/>
      <c r="B1546" s="70"/>
      <c r="C1546" s="70"/>
      <c r="D1546" s="70"/>
      <c r="E1546" s="70"/>
      <c r="F1546" s="70"/>
      <c r="G1546" s="70"/>
      <c r="H1546" s="70"/>
      <c r="I1546" s="70"/>
      <c r="J1546" s="70"/>
    </row>
    <row r="1547" spans="1:10" ht="16" x14ac:dyDescent="0.2">
      <c r="A1547" s="70"/>
      <c r="B1547" s="70"/>
      <c r="C1547" s="70"/>
      <c r="D1547" s="70"/>
      <c r="E1547" s="70"/>
      <c r="F1547" s="70"/>
      <c r="G1547" s="70"/>
      <c r="H1547" s="70"/>
      <c r="I1547" s="70"/>
      <c r="J1547" s="70"/>
    </row>
    <row r="1548" spans="1:10" ht="16" x14ac:dyDescent="0.2">
      <c r="A1548" s="70"/>
      <c r="B1548" s="70"/>
      <c r="C1548" s="70"/>
      <c r="D1548" s="70"/>
      <c r="E1548" s="70"/>
      <c r="F1548" s="70"/>
      <c r="G1548" s="70"/>
      <c r="H1548" s="70"/>
      <c r="I1548" s="70"/>
      <c r="J1548" s="70"/>
    </row>
    <row r="1549" spans="1:10" ht="16" x14ac:dyDescent="0.2">
      <c r="A1549" s="70"/>
      <c r="B1549" s="70"/>
      <c r="C1549" s="70"/>
      <c r="D1549" s="70"/>
      <c r="E1549" s="70"/>
      <c r="F1549" s="70"/>
      <c r="G1549" s="70"/>
      <c r="H1549" s="70"/>
      <c r="I1549" s="70"/>
      <c r="J1549" s="70"/>
    </row>
    <row r="1550" spans="1:10" ht="16" x14ac:dyDescent="0.2">
      <c r="A1550" s="70"/>
      <c r="B1550" s="70"/>
      <c r="C1550" s="70"/>
      <c r="D1550" s="70"/>
      <c r="E1550" s="70"/>
      <c r="F1550" s="70"/>
      <c r="G1550" s="70"/>
      <c r="H1550" s="70"/>
      <c r="I1550" s="70"/>
      <c r="J1550" s="70"/>
    </row>
    <row r="1551" spans="1:10" ht="16" x14ac:dyDescent="0.2">
      <c r="A1551" s="70"/>
      <c r="B1551" s="70"/>
      <c r="C1551" s="70"/>
      <c r="D1551" s="70"/>
      <c r="E1551" s="70"/>
      <c r="F1551" s="70"/>
      <c r="G1551" s="70"/>
      <c r="H1551" s="70"/>
      <c r="I1551" s="70"/>
      <c r="J1551" s="70"/>
    </row>
    <row r="1552" spans="1:10" ht="16" x14ac:dyDescent="0.2">
      <c r="A1552" s="70"/>
      <c r="B1552" s="70"/>
      <c r="C1552" s="70"/>
      <c r="D1552" s="70"/>
      <c r="E1552" s="70"/>
      <c r="F1552" s="70"/>
      <c r="G1552" s="70"/>
      <c r="H1552" s="70"/>
      <c r="I1552" s="70"/>
      <c r="J1552" s="70"/>
    </row>
    <row r="1553" spans="1:10" ht="16" x14ac:dyDescent="0.2">
      <c r="A1553" s="70"/>
      <c r="B1553" s="70"/>
      <c r="C1553" s="70"/>
      <c r="D1553" s="70"/>
      <c r="E1553" s="70"/>
      <c r="F1553" s="70"/>
      <c r="G1553" s="70"/>
      <c r="H1553" s="70"/>
      <c r="I1553" s="70"/>
      <c r="J1553" s="70"/>
    </row>
    <row r="1554" spans="1:10" ht="16" x14ac:dyDescent="0.2">
      <c r="A1554" s="70"/>
      <c r="B1554" s="70"/>
      <c r="C1554" s="70"/>
      <c r="D1554" s="70"/>
      <c r="E1554" s="70"/>
      <c r="F1554" s="70"/>
      <c r="G1554" s="70"/>
      <c r="H1554" s="70"/>
      <c r="I1554" s="70"/>
      <c r="J1554" s="70"/>
    </row>
    <row r="1555" spans="1:10" ht="16" x14ac:dyDescent="0.2">
      <c r="A1555" s="70"/>
      <c r="B1555" s="70"/>
      <c r="C1555" s="70"/>
      <c r="D1555" s="70"/>
      <c r="E1555" s="70"/>
      <c r="F1555" s="70"/>
      <c r="G1555" s="70"/>
      <c r="H1555" s="70"/>
      <c r="I1555" s="70"/>
      <c r="J1555" s="70"/>
    </row>
    <row r="1556" spans="1:10" ht="16" x14ac:dyDescent="0.2">
      <c r="A1556" s="70"/>
      <c r="B1556" s="70"/>
      <c r="C1556" s="70"/>
      <c r="D1556" s="70"/>
      <c r="E1556" s="70"/>
      <c r="F1556" s="70"/>
      <c r="G1556" s="70"/>
      <c r="H1556" s="70"/>
      <c r="I1556" s="70"/>
      <c r="J1556" s="70"/>
    </row>
    <row r="1557" spans="1:10" ht="16" x14ac:dyDescent="0.2">
      <c r="A1557" s="70"/>
      <c r="B1557" s="70"/>
      <c r="C1557" s="70"/>
      <c r="D1557" s="70"/>
      <c r="E1557" s="70"/>
      <c r="F1557" s="70"/>
      <c r="G1557" s="70"/>
      <c r="H1557" s="70"/>
      <c r="I1557" s="70"/>
      <c r="J1557" s="70"/>
    </row>
    <row r="1558" spans="1:10" ht="16" x14ac:dyDescent="0.2">
      <c r="A1558" s="70"/>
      <c r="B1558" s="70"/>
      <c r="C1558" s="70"/>
      <c r="D1558" s="70"/>
      <c r="E1558" s="70"/>
      <c r="F1558" s="70"/>
      <c r="G1558" s="70"/>
      <c r="H1558" s="70"/>
      <c r="I1558" s="70"/>
      <c r="J1558" s="70"/>
    </row>
    <row r="1559" spans="1:10" ht="16" x14ac:dyDescent="0.2">
      <c r="A1559" s="70"/>
      <c r="B1559" s="70"/>
      <c r="C1559" s="70"/>
      <c r="D1559" s="70"/>
      <c r="E1559" s="70"/>
      <c r="F1559" s="70"/>
      <c r="G1559" s="70"/>
      <c r="H1559" s="70"/>
      <c r="I1559" s="70"/>
      <c r="J1559" s="70"/>
    </row>
    <row r="1560" spans="1:10" ht="16" x14ac:dyDescent="0.2">
      <c r="A1560" s="70"/>
      <c r="B1560" s="70"/>
      <c r="C1560" s="70"/>
      <c r="D1560" s="70"/>
      <c r="E1560" s="70"/>
      <c r="F1560" s="70"/>
      <c r="G1560" s="70"/>
      <c r="H1560" s="70"/>
      <c r="I1560" s="70"/>
      <c r="J1560" s="70"/>
    </row>
    <row r="1561" spans="1:10" ht="16" x14ac:dyDescent="0.2">
      <c r="A1561" s="70"/>
      <c r="B1561" s="70"/>
      <c r="C1561" s="70"/>
      <c r="D1561" s="70"/>
      <c r="E1561" s="70"/>
      <c r="F1561" s="70"/>
      <c r="G1561" s="70"/>
      <c r="H1561" s="70"/>
      <c r="I1561" s="70"/>
      <c r="J1561" s="70"/>
    </row>
    <row r="1562" spans="1:10" ht="16" x14ac:dyDescent="0.2">
      <c r="A1562" s="70"/>
      <c r="B1562" s="70"/>
      <c r="C1562" s="70"/>
      <c r="D1562" s="70"/>
      <c r="E1562" s="70"/>
      <c r="F1562" s="70"/>
      <c r="G1562" s="70"/>
      <c r="H1562" s="70"/>
      <c r="I1562" s="70"/>
      <c r="J1562" s="70"/>
    </row>
    <row r="1563" spans="1:10" ht="16" x14ac:dyDescent="0.2">
      <c r="A1563" s="70"/>
      <c r="B1563" s="70"/>
      <c r="C1563" s="70"/>
      <c r="D1563" s="70"/>
      <c r="E1563" s="70"/>
      <c r="F1563" s="70"/>
      <c r="G1563" s="70"/>
      <c r="H1563" s="70"/>
      <c r="I1563" s="70"/>
      <c r="J1563" s="70"/>
    </row>
    <row r="1564" spans="1:10" ht="16" x14ac:dyDescent="0.2">
      <c r="A1564" s="70"/>
      <c r="B1564" s="70"/>
      <c r="C1564" s="70"/>
      <c r="D1564" s="70"/>
      <c r="E1564" s="70"/>
      <c r="F1564" s="70"/>
      <c r="G1564" s="70"/>
      <c r="H1564" s="70"/>
      <c r="I1564" s="70"/>
      <c r="J1564" s="70"/>
    </row>
    <row r="1565" spans="1:10" ht="16" x14ac:dyDescent="0.2">
      <c r="A1565" s="70"/>
      <c r="B1565" s="70"/>
      <c r="C1565" s="70"/>
      <c r="D1565" s="70"/>
      <c r="E1565" s="70"/>
      <c r="F1565" s="70"/>
      <c r="G1565" s="70"/>
      <c r="H1565" s="70"/>
      <c r="I1565" s="70"/>
      <c r="J1565" s="70"/>
    </row>
    <row r="1566" spans="1:10" ht="16" x14ac:dyDescent="0.2">
      <c r="A1566" s="70"/>
      <c r="B1566" s="70"/>
      <c r="C1566" s="70"/>
      <c r="D1566" s="70"/>
      <c r="E1566" s="70"/>
      <c r="F1566" s="70"/>
      <c r="G1566" s="70"/>
      <c r="H1566" s="70"/>
      <c r="I1566" s="70"/>
      <c r="J1566" s="70"/>
    </row>
    <row r="1567" spans="1:10" ht="16" x14ac:dyDescent="0.2">
      <c r="A1567" s="70"/>
      <c r="B1567" s="70"/>
      <c r="C1567" s="70"/>
      <c r="D1567" s="70"/>
      <c r="E1567" s="70"/>
      <c r="F1567" s="70"/>
      <c r="G1567" s="70"/>
      <c r="H1567" s="70"/>
      <c r="I1567" s="70"/>
      <c r="J1567" s="70"/>
    </row>
    <row r="1568" spans="1:10" ht="16" x14ac:dyDescent="0.2">
      <c r="A1568" s="70"/>
      <c r="B1568" s="70"/>
      <c r="C1568" s="70"/>
      <c r="D1568" s="70"/>
      <c r="E1568" s="70"/>
      <c r="F1568" s="70"/>
      <c r="G1568" s="70"/>
      <c r="H1568" s="70"/>
      <c r="I1568" s="70"/>
      <c r="J1568" s="70"/>
    </row>
    <row r="1569" spans="1:10" ht="16" x14ac:dyDescent="0.2">
      <c r="A1569" s="70"/>
      <c r="B1569" s="70"/>
      <c r="C1569" s="70"/>
      <c r="D1569" s="70"/>
      <c r="E1569" s="70"/>
      <c r="F1569" s="70"/>
      <c r="G1569" s="70"/>
      <c r="H1569" s="70"/>
      <c r="I1569" s="70"/>
      <c r="J1569" s="70"/>
    </row>
    <row r="1570" spans="1:10" ht="16" x14ac:dyDescent="0.2">
      <c r="A1570" s="70"/>
      <c r="B1570" s="70"/>
      <c r="C1570" s="70"/>
      <c r="D1570" s="70"/>
      <c r="E1570" s="70"/>
      <c r="F1570" s="70"/>
      <c r="G1570" s="70"/>
      <c r="H1570" s="70"/>
      <c r="I1570" s="70"/>
      <c r="J1570" s="70"/>
    </row>
    <row r="1571" spans="1:10" ht="16" x14ac:dyDescent="0.2">
      <c r="A1571" s="70"/>
      <c r="B1571" s="70"/>
      <c r="C1571" s="70"/>
      <c r="D1571" s="70"/>
      <c r="E1571" s="70"/>
      <c r="F1571" s="70"/>
      <c r="G1571" s="70"/>
      <c r="H1571" s="70"/>
      <c r="I1571" s="70"/>
      <c r="J1571" s="70"/>
    </row>
    <row r="1572" spans="1:10" ht="16" x14ac:dyDescent="0.2">
      <c r="A1572" s="70"/>
      <c r="B1572" s="70"/>
      <c r="C1572" s="70"/>
      <c r="D1572" s="70"/>
      <c r="E1572" s="70"/>
      <c r="F1572" s="70"/>
      <c r="G1572" s="70"/>
      <c r="H1572" s="70"/>
      <c r="I1572" s="70"/>
      <c r="J1572" s="70"/>
    </row>
    <row r="1573" spans="1:10" ht="16" x14ac:dyDescent="0.2">
      <c r="A1573" s="70"/>
      <c r="B1573" s="70"/>
      <c r="C1573" s="70"/>
      <c r="D1573" s="70"/>
      <c r="E1573" s="70"/>
      <c r="F1573" s="70"/>
      <c r="G1573" s="70"/>
      <c r="H1573" s="70"/>
      <c r="I1573" s="70"/>
      <c r="J1573" s="70"/>
    </row>
    <row r="1574" spans="1:10" ht="16" x14ac:dyDescent="0.2">
      <c r="A1574" s="70"/>
      <c r="B1574" s="70"/>
      <c r="C1574" s="70"/>
      <c r="D1574" s="70"/>
      <c r="E1574" s="70"/>
      <c r="F1574" s="70"/>
      <c r="G1574" s="70"/>
      <c r="H1574" s="70"/>
      <c r="I1574" s="70"/>
      <c r="J1574" s="70"/>
    </row>
    <row r="1575" spans="1:10" ht="16" x14ac:dyDescent="0.2">
      <c r="A1575" s="70"/>
      <c r="B1575" s="70"/>
      <c r="C1575" s="70"/>
      <c r="D1575" s="70"/>
      <c r="E1575" s="70"/>
      <c r="F1575" s="70"/>
      <c r="G1575" s="70"/>
      <c r="H1575" s="70"/>
      <c r="I1575" s="70"/>
      <c r="J1575" s="70"/>
    </row>
    <row r="1576" spans="1:10" ht="16" x14ac:dyDescent="0.2">
      <c r="A1576" s="70"/>
      <c r="B1576" s="70"/>
      <c r="C1576" s="70"/>
      <c r="D1576" s="70"/>
      <c r="E1576" s="70"/>
      <c r="F1576" s="70"/>
      <c r="G1576" s="70"/>
      <c r="H1576" s="70"/>
      <c r="I1576" s="70"/>
      <c r="J1576" s="70"/>
    </row>
    <row r="1577" spans="1:10" ht="16" x14ac:dyDescent="0.2">
      <c r="A1577" s="70"/>
      <c r="B1577" s="70"/>
      <c r="C1577" s="70"/>
      <c r="D1577" s="70"/>
      <c r="E1577" s="70"/>
      <c r="F1577" s="70"/>
      <c r="G1577" s="70"/>
      <c r="H1577" s="70"/>
      <c r="I1577" s="70"/>
      <c r="J1577" s="70"/>
    </row>
    <row r="1578" spans="1:10" ht="16" x14ac:dyDescent="0.2">
      <c r="A1578" s="70"/>
      <c r="B1578" s="70"/>
      <c r="C1578" s="70"/>
      <c r="D1578" s="70"/>
      <c r="E1578" s="70"/>
      <c r="F1578" s="70"/>
      <c r="G1578" s="70"/>
      <c r="H1578" s="70"/>
      <c r="I1578" s="70"/>
      <c r="J1578" s="70"/>
    </row>
    <row r="1579" spans="1:10" ht="16" x14ac:dyDescent="0.2">
      <c r="A1579" s="70"/>
      <c r="B1579" s="70"/>
      <c r="C1579" s="70"/>
      <c r="D1579" s="70"/>
      <c r="E1579" s="70"/>
      <c r="F1579" s="70"/>
      <c r="G1579" s="70"/>
      <c r="H1579" s="70"/>
      <c r="I1579" s="70"/>
      <c r="J1579" s="70"/>
    </row>
    <row r="1580" spans="1:10" ht="16" x14ac:dyDescent="0.2">
      <c r="A1580" s="70"/>
      <c r="B1580" s="70"/>
      <c r="C1580" s="70"/>
      <c r="D1580" s="70"/>
      <c r="E1580" s="70"/>
      <c r="F1580" s="70"/>
      <c r="G1580" s="70"/>
      <c r="H1580" s="70"/>
      <c r="I1580" s="70"/>
      <c r="J1580" s="70"/>
    </row>
    <row r="1581" spans="1:10" ht="16" x14ac:dyDescent="0.2">
      <c r="A1581" s="70"/>
      <c r="B1581" s="70"/>
      <c r="C1581" s="70"/>
      <c r="D1581" s="70"/>
      <c r="E1581" s="70"/>
      <c r="F1581" s="70"/>
      <c r="G1581" s="70"/>
      <c r="H1581" s="70"/>
      <c r="I1581" s="70"/>
      <c r="J1581" s="70"/>
    </row>
    <row r="1582" spans="1:10" ht="16" x14ac:dyDescent="0.2">
      <c r="A1582" s="70"/>
      <c r="B1582" s="70"/>
      <c r="C1582" s="70"/>
      <c r="D1582" s="70"/>
      <c r="E1582" s="70"/>
      <c r="F1582" s="70"/>
      <c r="G1582" s="70"/>
      <c r="H1582" s="70"/>
      <c r="I1582" s="70"/>
      <c r="J1582" s="70"/>
    </row>
    <row r="1583" spans="1:10" ht="16" x14ac:dyDescent="0.2">
      <c r="A1583" s="70"/>
      <c r="B1583" s="70"/>
      <c r="C1583" s="70"/>
      <c r="D1583" s="70"/>
      <c r="E1583" s="70"/>
      <c r="F1583" s="70"/>
      <c r="G1583" s="70"/>
      <c r="H1583" s="70"/>
      <c r="I1583" s="70"/>
      <c r="J1583" s="70"/>
    </row>
    <row r="1584" spans="1:10" ht="16" x14ac:dyDescent="0.2">
      <c r="A1584" s="70"/>
      <c r="B1584" s="70"/>
      <c r="C1584" s="70"/>
      <c r="D1584" s="70"/>
      <c r="E1584" s="70"/>
      <c r="F1584" s="70"/>
      <c r="G1584" s="70"/>
      <c r="H1584" s="70"/>
      <c r="I1584" s="70"/>
      <c r="J1584" s="70"/>
    </row>
    <row r="1585" spans="1:10" ht="16" x14ac:dyDescent="0.2">
      <c r="A1585" s="70"/>
      <c r="B1585" s="70"/>
      <c r="C1585" s="70"/>
      <c r="D1585" s="70"/>
      <c r="E1585" s="70"/>
      <c r="F1585" s="70"/>
      <c r="G1585" s="70"/>
      <c r="H1585" s="70"/>
      <c r="I1585" s="70"/>
      <c r="J1585" s="70"/>
    </row>
    <row r="1586" spans="1:10" ht="16" x14ac:dyDescent="0.2">
      <c r="A1586" s="70"/>
      <c r="B1586" s="70"/>
      <c r="C1586" s="70"/>
      <c r="D1586" s="70"/>
      <c r="E1586" s="70"/>
      <c r="F1586" s="70"/>
      <c r="G1586" s="70"/>
      <c r="H1586" s="70"/>
      <c r="I1586" s="70"/>
      <c r="J1586" s="70"/>
    </row>
    <row r="1587" spans="1:10" ht="16" x14ac:dyDescent="0.2">
      <c r="A1587" s="70"/>
      <c r="B1587" s="70"/>
      <c r="C1587" s="70"/>
      <c r="D1587" s="70"/>
      <c r="E1587" s="70"/>
      <c r="F1587" s="70"/>
      <c r="G1587" s="70"/>
      <c r="H1587" s="70"/>
      <c r="I1587" s="70"/>
      <c r="J1587" s="70"/>
    </row>
    <row r="1588" spans="1:10" ht="16" x14ac:dyDescent="0.2">
      <c r="A1588" s="70"/>
      <c r="B1588" s="70"/>
      <c r="C1588" s="70"/>
      <c r="D1588" s="70"/>
      <c r="E1588" s="70"/>
      <c r="F1588" s="70"/>
      <c r="G1588" s="70"/>
      <c r="H1588" s="70"/>
      <c r="I1588" s="70"/>
      <c r="J1588" s="70"/>
    </row>
    <row r="1589" spans="1:10" ht="16" x14ac:dyDescent="0.2">
      <c r="A1589" s="70"/>
      <c r="B1589" s="70"/>
      <c r="C1589" s="70"/>
      <c r="D1589" s="70"/>
      <c r="E1589" s="70"/>
      <c r="F1589" s="70"/>
      <c r="G1589" s="70"/>
      <c r="H1589" s="70"/>
      <c r="I1589" s="70"/>
      <c r="J1589" s="70"/>
    </row>
    <row r="1590" spans="1:10" ht="16" x14ac:dyDescent="0.2">
      <c r="A1590" s="70"/>
      <c r="B1590" s="70"/>
      <c r="C1590" s="70"/>
      <c r="D1590" s="70"/>
      <c r="E1590" s="70"/>
      <c r="F1590" s="70"/>
      <c r="G1590" s="70"/>
      <c r="H1590" s="70"/>
      <c r="I1590" s="70"/>
      <c r="J1590" s="70"/>
    </row>
    <row r="1591" spans="1:10" ht="16" x14ac:dyDescent="0.2">
      <c r="A1591" s="70"/>
      <c r="B1591" s="70"/>
      <c r="C1591" s="70"/>
      <c r="D1591" s="70"/>
      <c r="E1591" s="70"/>
      <c r="F1591" s="70"/>
      <c r="G1591" s="70"/>
      <c r="H1591" s="70"/>
      <c r="I1591" s="70"/>
      <c r="J1591" s="70"/>
    </row>
    <row r="1592" spans="1:10" ht="16" x14ac:dyDescent="0.2">
      <c r="A1592" s="70"/>
      <c r="B1592" s="70"/>
      <c r="C1592" s="70"/>
      <c r="D1592" s="70"/>
      <c r="E1592" s="70"/>
      <c r="F1592" s="70"/>
      <c r="G1592" s="70"/>
      <c r="H1592" s="70"/>
      <c r="I1592" s="70"/>
      <c r="J1592" s="70"/>
    </row>
    <row r="1593" spans="1:10" ht="16" x14ac:dyDescent="0.2">
      <c r="A1593" s="70"/>
      <c r="B1593" s="70"/>
      <c r="C1593" s="70"/>
      <c r="D1593" s="70"/>
      <c r="E1593" s="70"/>
      <c r="F1593" s="70"/>
      <c r="G1593" s="70"/>
      <c r="H1593" s="70"/>
      <c r="I1593" s="70"/>
      <c r="J1593" s="70"/>
    </row>
    <row r="1594" spans="1:10" ht="16" x14ac:dyDescent="0.2">
      <c r="A1594" s="70"/>
      <c r="B1594" s="70"/>
      <c r="C1594" s="70"/>
      <c r="D1594" s="70"/>
      <c r="E1594" s="70"/>
      <c r="F1594" s="70"/>
      <c r="G1594" s="70"/>
      <c r="H1594" s="70"/>
      <c r="I1594" s="70"/>
      <c r="J1594" s="70"/>
    </row>
    <row r="1595" spans="1:10" ht="16" x14ac:dyDescent="0.2">
      <c r="A1595" s="70"/>
      <c r="B1595" s="70"/>
      <c r="C1595" s="70"/>
      <c r="D1595" s="70"/>
      <c r="E1595" s="70"/>
      <c r="F1595" s="70"/>
      <c r="G1595" s="70"/>
      <c r="H1595" s="70"/>
      <c r="I1595" s="70"/>
      <c r="J1595" s="70"/>
    </row>
    <row r="1596" spans="1:10" ht="16" x14ac:dyDescent="0.2">
      <c r="A1596" s="70"/>
      <c r="B1596" s="70"/>
      <c r="C1596" s="70"/>
      <c r="D1596" s="70"/>
      <c r="E1596" s="70"/>
      <c r="F1596" s="70"/>
      <c r="G1596" s="70"/>
      <c r="H1596" s="70"/>
      <c r="I1596" s="70"/>
      <c r="J1596" s="70"/>
    </row>
    <row r="1597" spans="1:10" ht="16" x14ac:dyDescent="0.2">
      <c r="A1597" s="70"/>
      <c r="B1597" s="70"/>
      <c r="C1597" s="70"/>
      <c r="D1597" s="70"/>
      <c r="E1597" s="70"/>
      <c r="F1597" s="70"/>
      <c r="G1597" s="70"/>
      <c r="H1597" s="70"/>
      <c r="I1597" s="70"/>
      <c r="J1597" s="70"/>
    </row>
    <row r="1598" spans="1:10" ht="16" x14ac:dyDescent="0.2">
      <c r="A1598" s="70"/>
      <c r="B1598" s="70"/>
      <c r="C1598" s="70"/>
      <c r="D1598" s="70"/>
      <c r="E1598" s="70"/>
      <c r="F1598" s="70"/>
      <c r="G1598" s="70"/>
      <c r="H1598" s="70"/>
      <c r="I1598" s="70"/>
      <c r="J1598" s="70"/>
    </row>
    <row r="1599" spans="1:10" ht="16" x14ac:dyDescent="0.2">
      <c r="A1599" s="70"/>
      <c r="B1599" s="70"/>
      <c r="C1599" s="70"/>
      <c r="D1599" s="70"/>
      <c r="E1599" s="70"/>
      <c r="F1599" s="70"/>
      <c r="G1599" s="70"/>
      <c r="H1599" s="70"/>
      <c r="I1599" s="70"/>
      <c r="J1599" s="70"/>
    </row>
    <row r="1600" spans="1:10" ht="16" x14ac:dyDescent="0.2">
      <c r="A1600" s="70"/>
      <c r="B1600" s="70"/>
      <c r="C1600" s="70"/>
      <c r="D1600" s="70"/>
      <c r="E1600" s="70"/>
      <c r="F1600" s="70"/>
      <c r="G1600" s="70"/>
      <c r="H1600" s="70"/>
      <c r="I1600" s="70"/>
      <c r="J1600" s="70"/>
    </row>
    <row r="1601" spans="1:10" ht="16" x14ac:dyDescent="0.2">
      <c r="A1601" s="70"/>
      <c r="B1601" s="70"/>
      <c r="C1601" s="70"/>
      <c r="D1601" s="70"/>
      <c r="E1601" s="70"/>
      <c r="F1601" s="70"/>
      <c r="G1601" s="70"/>
      <c r="H1601" s="70"/>
      <c r="I1601" s="70"/>
      <c r="J1601" s="70"/>
    </row>
    <row r="1602" spans="1:10" ht="16" x14ac:dyDescent="0.2">
      <c r="A1602" s="70"/>
      <c r="B1602" s="70"/>
      <c r="C1602" s="70"/>
      <c r="D1602" s="70"/>
      <c r="E1602" s="70"/>
      <c r="F1602" s="70"/>
      <c r="G1602" s="70"/>
      <c r="H1602" s="70"/>
      <c r="I1602" s="70"/>
      <c r="J1602" s="70"/>
    </row>
    <row r="1603" spans="1:10" ht="16" x14ac:dyDescent="0.2">
      <c r="A1603" s="70"/>
      <c r="B1603" s="70"/>
      <c r="C1603" s="70"/>
      <c r="D1603" s="70"/>
      <c r="E1603" s="70"/>
      <c r="F1603" s="70"/>
      <c r="G1603" s="70"/>
      <c r="H1603" s="70"/>
      <c r="I1603" s="70"/>
      <c r="J1603" s="70"/>
    </row>
    <row r="1604" spans="1:10" ht="16" x14ac:dyDescent="0.2">
      <c r="A1604" s="70"/>
      <c r="B1604" s="70"/>
      <c r="C1604" s="70"/>
      <c r="D1604" s="70"/>
      <c r="E1604" s="70"/>
      <c r="F1604" s="70"/>
      <c r="G1604" s="70"/>
      <c r="H1604" s="70"/>
      <c r="I1604" s="70"/>
      <c r="J1604" s="70"/>
    </row>
    <row r="1605" spans="1:10" ht="16" x14ac:dyDescent="0.2">
      <c r="A1605" s="70"/>
      <c r="B1605" s="70"/>
      <c r="C1605" s="70"/>
      <c r="D1605" s="70"/>
      <c r="E1605" s="70"/>
      <c r="F1605" s="70"/>
      <c r="G1605" s="70"/>
      <c r="H1605" s="70"/>
      <c r="I1605" s="70"/>
      <c r="J1605" s="70"/>
    </row>
    <row r="1606" spans="1:10" ht="16" x14ac:dyDescent="0.2">
      <c r="A1606" s="70"/>
      <c r="B1606" s="70"/>
      <c r="C1606" s="70"/>
      <c r="D1606" s="70"/>
      <c r="E1606" s="70"/>
      <c r="F1606" s="70"/>
      <c r="G1606" s="70"/>
      <c r="H1606" s="70"/>
      <c r="I1606" s="70"/>
      <c r="J1606" s="70"/>
    </row>
    <row r="1607" spans="1:10" ht="16" x14ac:dyDescent="0.2">
      <c r="A1607" s="70"/>
      <c r="B1607" s="70"/>
      <c r="C1607" s="70"/>
      <c r="D1607" s="70"/>
      <c r="E1607" s="70"/>
      <c r="F1607" s="70"/>
      <c r="G1607" s="70"/>
      <c r="H1607" s="70"/>
      <c r="I1607" s="70"/>
      <c r="J1607" s="70"/>
    </row>
    <row r="1608" spans="1:10" ht="16" x14ac:dyDescent="0.2">
      <c r="A1608" s="70"/>
      <c r="B1608" s="70"/>
      <c r="C1608" s="70"/>
      <c r="D1608" s="70"/>
      <c r="E1608" s="70"/>
      <c r="F1608" s="70"/>
      <c r="G1608" s="70"/>
      <c r="H1608" s="70"/>
      <c r="I1608" s="70"/>
      <c r="J1608" s="70"/>
    </row>
    <row r="1609" spans="1:10" ht="16" x14ac:dyDescent="0.2">
      <c r="A1609" s="70"/>
      <c r="B1609" s="70"/>
      <c r="C1609" s="70"/>
      <c r="D1609" s="70"/>
      <c r="E1609" s="70"/>
      <c r="F1609" s="70"/>
      <c r="G1609" s="70"/>
      <c r="H1609" s="70"/>
      <c r="I1609" s="70"/>
      <c r="J1609" s="70"/>
    </row>
    <row r="1610" spans="1:10" ht="16" x14ac:dyDescent="0.2">
      <c r="A1610" s="70"/>
      <c r="B1610" s="70"/>
      <c r="C1610" s="70"/>
      <c r="D1610" s="70"/>
      <c r="E1610" s="70"/>
      <c r="F1610" s="70"/>
      <c r="G1610" s="70"/>
      <c r="H1610" s="70"/>
      <c r="I1610" s="70"/>
      <c r="J1610" s="70"/>
    </row>
    <row r="1611" spans="1:10" ht="16" x14ac:dyDescent="0.2">
      <c r="A1611" s="70"/>
      <c r="B1611" s="70"/>
      <c r="C1611" s="70"/>
      <c r="D1611" s="70"/>
      <c r="E1611" s="70"/>
      <c r="F1611" s="70"/>
      <c r="G1611" s="70"/>
      <c r="H1611" s="70"/>
      <c r="I1611" s="70"/>
      <c r="J1611" s="70"/>
    </row>
    <row r="1612" spans="1:10" ht="16" x14ac:dyDescent="0.2">
      <c r="A1612" s="70"/>
      <c r="B1612" s="70"/>
      <c r="C1612" s="70"/>
      <c r="D1612" s="70"/>
      <c r="E1612" s="70"/>
      <c r="F1612" s="70"/>
      <c r="G1612" s="70"/>
      <c r="H1612" s="70"/>
      <c r="I1612" s="70"/>
      <c r="J1612" s="70"/>
    </row>
    <row r="1613" spans="1:10" ht="16" x14ac:dyDescent="0.2">
      <c r="A1613" s="70"/>
      <c r="B1613" s="70"/>
      <c r="C1613" s="70"/>
      <c r="D1613" s="70"/>
      <c r="E1613" s="70"/>
      <c r="F1613" s="70"/>
      <c r="G1613" s="70"/>
      <c r="H1613" s="70"/>
      <c r="I1613" s="70"/>
      <c r="J1613" s="70"/>
    </row>
    <row r="1614" spans="1:10" ht="16" x14ac:dyDescent="0.2">
      <c r="A1614" s="70"/>
      <c r="B1614" s="70"/>
      <c r="C1614" s="70"/>
      <c r="D1614" s="70"/>
      <c r="E1614" s="70"/>
      <c r="F1614" s="70"/>
      <c r="G1614" s="70"/>
      <c r="H1614" s="70"/>
      <c r="I1614" s="70"/>
      <c r="J1614" s="70"/>
    </row>
    <row r="1615" spans="1:10" ht="16" x14ac:dyDescent="0.2">
      <c r="A1615" s="70"/>
      <c r="B1615" s="70"/>
      <c r="C1615" s="70"/>
      <c r="D1615" s="70"/>
      <c r="E1615" s="70"/>
      <c r="F1615" s="70"/>
      <c r="G1615" s="70"/>
      <c r="H1615" s="70"/>
      <c r="I1615" s="70"/>
      <c r="J1615" s="70"/>
    </row>
    <row r="1616" spans="1:10" ht="16" x14ac:dyDescent="0.2">
      <c r="A1616" s="70"/>
      <c r="B1616" s="70"/>
      <c r="C1616" s="70"/>
      <c r="D1616" s="70"/>
      <c r="E1616" s="70"/>
      <c r="F1616" s="70"/>
      <c r="G1616" s="70"/>
      <c r="H1616" s="70"/>
      <c r="I1616" s="70"/>
      <c r="J1616" s="70"/>
    </row>
    <row r="1617" spans="1:10" ht="16" x14ac:dyDescent="0.2">
      <c r="A1617" s="70"/>
      <c r="B1617" s="70"/>
      <c r="C1617" s="70"/>
      <c r="D1617" s="70"/>
      <c r="E1617" s="70"/>
      <c r="F1617" s="70"/>
      <c r="G1617" s="70"/>
      <c r="H1617" s="70"/>
      <c r="I1617" s="70"/>
      <c r="J1617" s="70"/>
    </row>
    <row r="1618" spans="1:10" ht="16" x14ac:dyDescent="0.2">
      <c r="A1618" s="70"/>
      <c r="B1618" s="70"/>
      <c r="C1618" s="70"/>
      <c r="D1618" s="70"/>
      <c r="E1618" s="70"/>
      <c r="F1618" s="70"/>
      <c r="G1618" s="70"/>
      <c r="H1618" s="70"/>
      <c r="I1618" s="70"/>
      <c r="J1618" s="70"/>
    </row>
    <row r="1619" spans="1:10" ht="16" x14ac:dyDescent="0.2">
      <c r="A1619" s="70"/>
      <c r="B1619" s="70"/>
      <c r="C1619" s="70"/>
      <c r="D1619" s="70"/>
      <c r="E1619" s="70"/>
      <c r="F1619" s="70"/>
      <c r="G1619" s="70"/>
      <c r="H1619" s="70"/>
      <c r="I1619" s="70"/>
      <c r="J1619" s="70"/>
    </row>
    <row r="1620" spans="1:10" ht="16" x14ac:dyDescent="0.2">
      <c r="A1620" s="70"/>
      <c r="B1620" s="70"/>
      <c r="C1620" s="70"/>
      <c r="D1620" s="70"/>
      <c r="E1620" s="70"/>
      <c r="F1620" s="70"/>
      <c r="G1620" s="70"/>
      <c r="H1620" s="70"/>
      <c r="I1620" s="70"/>
      <c r="J1620" s="70"/>
    </row>
    <row r="1621" spans="1:10" ht="16" x14ac:dyDescent="0.2">
      <c r="A1621" s="70"/>
      <c r="B1621" s="70"/>
      <c r="C1621" s="70"/>
      <c r="D1621" s="70"/>
      <c r="E1621" s="70"/>
      <c r="F1621" s="70"/>
      <c r="G1621" s="70"/>
      <c r="H1621" s="70"/>
      <c r="I1621" s="70"/>
      <c r="J1621" s="70"/>
    </row>
    <row r="1622" spans="1:10" ht="16" x14ac:dyDescent="0.2">
      <c r="A1622" s="70"/>
      <c r="B1622" s="70"/>
      <c r="C1622" s="70"/>
      <c r="D1622" s="70"/>
      <c r="E1622" s="70"/>
      <c r="F1622" s="70"/>
      <c r="G1622" s="70"/>
      <c r="H1622" s="70"/>
      <c r="I1622" s="70"/>
      <c r="J1622" s="70"/>
    </row>
    <row r="1623" spans="1:10" ht="16" x14ac:dyDescent="0.2">
      <c r="A1623" s="70"/>
      <c r="B1623" s="70"/>
      <c r="C1623" s="70"/>
      <c r="D1623" s="70"/>
      <c r="E1623" s="70"/>
      <c r="F1623" s="70"/>
      <c r="G1623" s="70"/>
      <c r="H1623" s="70"/>
      <c r="I1623" s="70"/>
      <c r="J1623" s="70"/>
    </row>
    <row r="1624" spans="1:10" ht="16" x14ac:dyDescent="0.2">
      <c r="A1624" s="70"/>
      <c r="B1624" s="70"/>
      <c r="C1624" s="70"/>
      <c r="D1624" s="70"/>
      <c r="E1624" s="70"/>
      <c r="F1624" s="70"/>
      <c r="G1624" s="70"/>
      <c r="H1624" s="70"/>
      <c r="I1624" s="70"/>
      <c r="J1624" s="70"/>
    </row>
    <row r="1625" spans="1:10" ht="16" x14ac:dyDescent="0.2">
      <c r="A1625" s="70"/>
      <c r="B1625" s="70"/>
      <c r="C1625" s="70"/>
      <c r="D1625" s="70"/>
      <c r="E1625" s="70"/>
      <c r="F1625" s="70"/>
      <c r="G1625" s="70"/>
      <c r="H1625" s="70"/>
      <c r="I1625" s="70"/>
      <c r="J1625" s="70"/>
    </row>
    <row r="1626" spans="1:10" ht="16" x14ac:dyDescent="0.2">
      <c r="A1626" s="70"/>
      <c r="B1626" s="70"/>
      <c r="C1626" s="70"/>
      <c r="D1626" s="70"/>
      <c r="E1626" s="70"/>
      <c r="F1626" s="70"/>
      <c r="G1626" s="70"/>
      <c r="H1626" s="70"/>
      <c r="I1626" s="70"/>
      <c r="J1626" s="70"/>
    </row>
    <row r="1627" spans="1:10" ht="16" x14ac:dyDescent="0.2">
      <c r="A1627" s="70"/>
      <c r="B1627" s="70"/>
      <c r="C1627" s="70"/>
      <c r="D1627" s="70"/>
      <c r="E1627" s="70"/>
      <c r="F1627" s="70"/>
      <c r="G1627" s="70"/>
      <c r="H1627" s="70"/>
      <c r="I1627" s="70"/>
      <c r="J1627" s="70"/>
    </row>
    <row r="1628" spans="1:10" ht="16" x14ac:dyDescent="0.2">
      <c r="A1628" s="70"/>
      <c r="B1628" s="70"/>
      <c r="C1628" s="70"/>
      <c r="D1628" s="70"/>
      <c r="E1628" s="70"/>
      <c r="F1628" s="70"/>
      <c r="G1628" s="70"/>
      <c r="H1628" s="70"/>
      <c r="I1628" s="70"/>
      <c r="J1628" s="70"/>
    </row>
    <row r="1629" spans="1:10" ht="16" x14ac:dyDescent="0.2">
      <c r="A1629" s="70"/>
      <c r="B1629" s="70"/>
      <c r="C1629" s="70"/>
      <c r="D1629" s="70"/>
      <c r="E1629" s="70"/>
      <c r="F1629" s="70"/>
      <c r="G1629" s="70"/>
      <c r="H1629" s="70"/>
      <c r="I1629" s="70"/>
      <c r="J1629" s="70"/>
    </row>
    <row r="1630" spans="1:10" ht="16" x14ac:dyDescent="0.2">
      <c r="A1630" s="70"/>
      <c r="B1630" s="70"/>
      <c r="C1630" s="70"/>
      <c r="D1630" s="70"/>
      <c r="E1630" s="70"/>
      <c r="F1630" s="70"/>
      <c r="G1630" s="70"/>
      <c r="H1630" s="70"/>
      <c r="I1630" s="70"/>
      <c r="J1630" s="70"/>
    </row>
    <row r="1631" spans="1:10" ht="16" x14ac:dyDescent="0.2">
      <c r="A1631" s="70"/>
      <c r="B1631" s="70"/>
      <c r="C1631" s="70"/>
      <c r="D1631" s="70"/>
      <c r="E1631" s="70"/>
      <c r="F1631" s="70"/>
      <c r="G1631" s="70"/>
      <c r="H1631" s="70"/>
      <c r="I1631" s="70"/>
      <c r="J1631" s="70"/>
    </row>
    <row r="1632" spans="1:10" ht="16" x14ac:dyDescent="0.2">
      <c r="A1632" s="70"/>
      <c r="B1632" s="70"/>
      <c r="C1632" s="70"/>
      <c r="D1632" s="70"/>
      <c r="E1632" s="70"/>
      <c r="F1632" s="70"/>
      <c r="G1632" s="70"/>
      <c r="H1632" s="70"/>
      <c r="I1632" s="70"/>
      <c r="J1632" s="70"/>
    </row>
    <row r="1633" spans="1:10" ht="16" x14ac:dyDescent="0.2">
      <c r="A1633" s="70"/>
      <c r="B1633" s="70"/>
      <c r="C1633" s="70"/>
      <c r="D1633" s="70"/>
      <c r="E1633" s="70"/>
      <c r="F1633" s="70"/>
      <c r="G1633" s="70"/>
      <c r="H1633" s="70"/>
      <c r="I1633" s="70"/>
      <c r="J1633" s="70"/>
    </row>
    <row r="1634" spans="1:10" ht="16" x14ac:dyDescent="0.2">
      <c r="A1634" s="70"/>
      <c r="B1634" s="70"/>
      <c r="C1634" s="70"/>
      <c r="D1634" s="70"/>
      <c r="E1634" s="70"/>
      <c r="F1634" s="70"/>
      <c r="G1634" s="70"/>
      <c r="H1634" s="70"/>
      <c r="I1634" s="70"/>
      <c r="J1634" s="70"/>
    </row>
    <row r="1635" spans="1:10" ht="16" x14ac:dyDescent="0.2">
      <c r="A1635" s="70"/>
      <c r="B1635" s="70"/>
      <c r="C1635" s="70"/>
      <c r="D1635" s="70"/>
      <c r="E1635" s="70"/>
      <c r="F1635" s="70"/>
      <c r="G1635" s="70"/>
      <c r="H1635" s="70"/>
      <c r="I1635" s="70"/>
      <c r="J1635" s="70"/>
    </row>
    <row r="1636" spans="1:10" ht="16" x14ac:dyDescent="0.2">
      <c r="A1636" s="70"/>
      <c r="B1636" s="70"/>
      <c r="C1636" s="70"/>
      <c r="D1636" s="70"/>
      <c r="E1636" s="70"/>
      <c r="F1636" s="70"/>
      <c r="G1636" s="70"/>
      <c r="H1636" s="70"/>
      <c r="I1636" s="70"/>
      <c r="J1636" s="70"/>
    </row>
    <row r="1637" spans="1:10" ht="16" x14ac:dyDescent="0.2">
      <c r="A1637" s="70"/>
      <c r="B1637" s="70"/>
      <c r="C1637" s="70"/>
      <c r="D1637" s="70"/>
      <c r="E1637" s="70"/>
      <c r="F1637" s="70"/>
      <c r="G1637" s="70"/>
      <c r="H1637" s="70"/>
      <c r="I1637" s="70"/>
      <c r="J1637" s="70"/>
    </row>
    <row r="1638" spans="1:10" ht="16" x14ac:dyDescent="0.2">
      <c r="A1638" s="70"/>
      <c r="B1638" s="70"/>
      <c r="C1638" s="70"/>
      <c r="D1638" s="70"/>
      <c r="E1638" s="70"/>
      <c r="F1638" s="70"/>
      <c r="G1638" s="70"/>
      <c r="H1638" s="70"/>
      <c r="I1638" s="70"/>
      <c r="J1638" s="70"/>
    </row>
    <row r="1639" spans="1:10" ht="16" x14ac:dyDescent="0.2">
      <c r="A1639" s="70"/>
      <c r="B1639" s="70"/>
      <c r="C1639" s="70"/>
      <c r="D1639" s="70"/>
      <c r="E1639" s="70"/>
      <c r="F1639" s="70"/>
      <c r="G1639" s="70"/>
      <c r="H1639" s="70"/>
      <c r="I1639" s="70"/>
      <c r="J1639" s="70"/>
    </row>
    <row r="1640" spans="1:10" ht="16" x14ac:dyDescent="0.2">
      <c r="A1640" s="70"/>
      <c r="B1640" s="70"/>
      <c r="C1640" s="70"/>
      <c r="D1640" s="70"/>
      <c r="E1640" s="70"/>
      <c r="F1640" s="70"/>
      <c r="G1640" s="70"/>
      <c r="H1640" s="70"/>
      <c r="I1640" s="70"/>
      <c r="J1640" s="70"/>
    </row>
    <row r="1641" spans="1:10" ht="16" x14ac:dyDescent="0.2">
      <c r="A1641" s="70"/>
      <c r="B1641" s="70"/>
      <c r="C1641" s="70"/>
      <c r="D1641" s="70"/>
      <c r="E1641" s="70"/>
      <c r="F1641" s="70"/>
      <c r="G1641" s="70"/>
      <c r="H1641" s="70"/>
      <c r="I1641" s="70"/>
      <c r="J1641" s="70"/>
    </row>
    <row r="1642" spans="1:10" ht="16" x14ac:dyDescent="0.2">
      <c r="A1642" s="70"/>
      <c r="B1642" s="70"/>
      <c r="C1642" s="70"/>
      <c r="D1642" s="70"/>
      <c r="E1642" s="70"/>
      <c r="F1642" s="70"/>
      <c r="G1642" s="70"/>
      <c r="H1642" s="70"/>
      <c r="I1642" s="70"/>
      <c r="J1642" s="70"/>
    </row>
    <row r="1643" spans="1:10" ht="16" x14ac:dyDescent="0.2">
      <c r="A1643" s="70"/>
      <c r="B1643" s="70"/>
      <c r="C1643" s="70"/>
      <c r="D1643" s="70"/>
      <c r="E1643" s="70"/>
      <c r="F1643" s="70"/>
      <c r="G1643" s="70"/>
      <c r="H1643" s="70"/>
      <c r="I1643" s="70"/>
      <c r="J1643" s="70"/>
    </row>
    <row r="1644" spans="1:10" ht="16" x14ac:dyDescent="0.2">
      <c r="A1644" s="70"/>
      <c r="B1644" s="70"/>
      <c r="C1644" s="70"/>
      <c r="D1644" s="70"/>
      <c r="E1644" s="70"/>
      <c r="F1644" s="70"/>
      <c r="G1644" s="70"/>
      <c r="H1644" s="70"/>
      <c r="I1644" s="70"/>
      <c r="J1644" s="70"/>
    </row>
    <row r="1645" spans="1:10" ht="16" x14ac:dyDescent="0.2">
      <c r="A1645" s="70"/>
      <c r="B1645" s="70"/>
      <c r="C1645" s="70"/>
      <c r="D1645" s="70"/>
      <c r="E1645" s="70"/>
      <c r="F1645" s="70"/>
      <c r="G1645" s="70"/>
      <c r="H1645" s="70"/>
      <c r="I1645" s="70"/>
      <c r="J1645" s="70"/>
    </row>
    <row r="1646" spans="1:10" ht="16" x14ac:dyDescent="0.2">
      <c r="A1646" s="70"/>
      <c r="B1646" s="70"/>
      <c r="C1646" s="70"/>
      <c r="D1646" s="70"/>
      <c r="E1646" s="70"/>
      <c r="F1646" s="70"/>
      <c r="G1646" s="70"/>
      <c r="H1646" s="70"/>
      <c r="I1646" s="70"/>
      <c r="J1646" s="70"/>
    </row>
    <row r="1647" spans="1:10" ht="16" x14ac:dyDescent="0.2">
      <c r="A1647" s="70"/>
      <c r="B1647" s="70"/>
      <c r="C1647" s="70"/>
      <c r="D1647" s="70"/>
      <c r="E1647" s="70"/>
      <c r="F1647" s="70"/>
      <c r="G1647" s="70"/>
      <c r="H1647" s="70"/>
      <c r="I1647" s="70"/>
      <c r="J1647" s="70"/>
    </row>
    <row r="1648" spans="1:10" ht="16" x14ac:dyDescent="0.2">
      <c r="A1648" s="70"/>
      <c r="B1648" s="70"/>
      <c r="C1648" s="70"/>
      <c r="D1648" s="70"/>
      <c r="E1648" s="70"/>
      <c r="F1648" s="70"/>
      <c r="G1648" s="70"/>
      <c r="H1648" s="70"/>
      <c r="I1648" s="70"/>
      <c r="J1648" s="70"/>
    </row>
    <row r="1649" spans="1:10" ht="16" x14ac:dyDescent="0.2">
      <c r="A1649" s="70"/>
      <c r="B1649" s="70"/>
      <c r="C1649" s="70"/>
      <c r="D1649" s="70"/>
      <c r="E1649" s="70"/>
      <c r="F1649" s="70"/>
      <c r="G1649" s="70"/>
      <c r="H1649" s="70"/>
      <c r="I1649" s="70"/>
      <c r="J1649" s="70"/>
    </row>
    <row r="1650" spans="1:10" ht="16" x14ac:dyDescent="0.2">
      <c r="A1650" s="70"/>
      <c r="B1650" s="70"/>
      <c r="C1650" s="70"/>
      <c r="D1650" s="70"/>
      <c r="E1650" s="70"/>
      <c r="F1650" s="70"/>
      <c r="G1650" s="70"/>
      <c r="H1650" s="70"/>
      <c r="I1650" s="70"/>
      <c r="J1650" s="70"/>
    </row>
    <row r="1651" spans="1:10" ht="16" x14ac:dyDescent="0.2">
      <c r="A1651" s="70"/>
      <c r="B1651" s="70"/>
      <c r="C1651" s="70"/>
      <c r="D1651" s="70"/>
      <c r="E1651" s="70"/>
      <c r="F1651" s="70"/>
      <c r="G1651" s="70"/>
      <c r="H1651" s="70"/>
      <c r="I1651" s="70"/>
      <c r="J1651" s="70"/>
    </row>
    <row r="1652" spans="1:10" ht="16" x14ac:dyDescent="0.2">
      <c r="A1652" s="70"/>
      <c r="B1652" s="70"/>
      <c r="C1652" s="70"/>
      <c r="D1652" s="70"/>
      <c r="E1652" s="70"/>
      <c r="F1652" s="70"/>
      <c r="G1652" s="70"/>
      <c r="H1652" s="70"/>
      <c r="I1652" s="70"/>
      <c r="J1652" s="70"/>
    </row>
    <row r="1653" spans="1:10" ht="16" x14ac:dyDescent="0.2">
      <c r="A1653" s="70"/>
      <c r="B1653" s="70"/>
      <c r="C1653" s="70"/>
      <c r="D1653" s="70"/>
      <c r="E1653" s="70"/>
      <c r="F1653" s="70"/>
      <c r="G1653" s="70"/>
      <c r="H1653" s="70"/>
      <c r="I1653" s="70"/>
      <c r="J1653" s="70"/>
    </row>
    <row r="1654" spans="1:10" ht="16" x14ac:dyDescent="0.2">
      <c r="A1654" s="70"/>
      <c r="B1654" s="70"/>
      <c r="C1654" s="70"/>
      <c r="D1654" s="70"/>
      <c r="E1654" s="70"/>
      <c r="F1654" s="70"/>
      <c r="G1654" s="70"/>
      <c r="H1654" s="70"/>
      <c r="I1654" s="70"/>
      <c r="J1654" s="70"/>
    </row>
    <row r="1655" spans="1:10" ht="16" x14ac:dyDescent="0.2">
      <c r="A1655" s="70"/>
      <c r="B1655" s="70"/>
      <c r="C1655" s="70"/>
      <c r="D1655" s="70"/>
      <c r="E1655" s="70"/>
      <c r="F1655" s="70"/>
      <c r="G1655" s="70"/>
      <c r="H1655" s="70"/>
      <c r="I1655" s="70"/>
      <c r="J1655" s="70"/>
    </row>
    <row r="1656" spans="1:10" ht="16" x14ac:dyDescent="0.2">
      <c r="A1656" s="70"/>
      <c r="B1656" s="70"/>
      <c r="C1656" s="70"/>
      <c r="D1656" s="70"/>
      <c r="E1656" s="70"/>
      <c r="F1656" s="70"/>
      <c r="G1656" s="70"/>
      <c r="H1656" s="70"/>
      <c r="I1656" s="70"/>
      <c r="J1656" s="70"/>
    </row>
    <row r="1657" spans="1:10" ht="16" x14ac:dyDescent="0.2">
      <c r="A1657" s="70"/>
      <c r="B1657" s="70"/>
      <c r="C1657" s="70"/>
      <c r="D1657" s="70"/>
      <c r="E1657" s="70"/>
      <c r="F1657" s="70"/>
      <c r="G1657" s="70"/>
      <c r="H1657" s="70"/>
      <c r="I1657" s="70"/>
      <c r="J1657" s="70"/>
    </row>
    <row r="1658" spans="1:10" ht="16" x14ac:dyDescent="0.2">
      <c r="A1658" s="70"/>
      <c r="B1658" s="70"/>
      <c r="C1658" s="70"/>
      <c r="D1658" s="70"/>
      <c r="E1658" s="70"/>
      <c r="F1658" s="70"/>
      <c r="G1658" s="70"/>
      <c r="H1658" s="70"/>
      <c r="I1658" s="70"/>
      <c r="J1658" s="70"/>
    </row>
    <row r="1659" spans="1:10" ht="16" x14ac:dyDescent="0.2">
      <c r="A1659" s="70"/>
      <c r="B1659" s="70"/>
      <c r="C1659" s="70"/>
      <c r="D1659" s="70"/>
      <c r="E1659" s="70"/>
      <c r="F1659" s="70"/>
      <c r="G1659" s="70"/>
      <c r="H1659" s="70"/>
      <c r="I1659" s="70"/>
      <c r="J1659" s="70"/>
    </row>
    <row r="1660" spans="1:10" ht="16" x14ac:dyDescent="0.2">
      <c r="A1660" s="70"/>
      <c r="B1660" s="70"/>
      <c r="C1660" s="70"/>
      <c r="D1660" s="70"/>
      <c r="E1660" s="70"/>
      <c r="F1660" s="70"/>
      <c r="G1660" s="70"/>
      <c r="H1660" s="70"/>
      <c r="I1660" s="70"/>
      <c r="J1660" s="70"/>
    </row>
    <row r="1661" spans="1:10" ht="16" x14ac:dyDescent="0.2">
      <c r="A1661" s="70"/>
      <c r="B1661" s="70"/>
      <c r="C1661" s="70"/>
      <c r="D1661" s="70"/>
      <c r="E1661" s="70"/>
      <c r="F1661" s="70"/>
      <c r="G1661" s="70"/>
      <c r="H1661" s="70"/>
      <c r="I1661" s="70"/>
      <c r="J1661" s="70"/>
    </row>
    <row r="1662" spans="1:10" ht="16" x14ac:dyDescent="0.2">
      <c r="A1662" s="70"/>
      <c r="B1662" s="70"/>
      <c r="C1662" s="70"/>
      <c r="D1662" s="70"/>
      <c r="E1662" s="70"/>
      <c r="F1662" s="70"/>
      <c r="G1662" s="70"/>
      <c r="H1662" s="70"/>
      <c r="I1662" s="70"/>
      <c r="J1662" s="70"/>
    </row>
    <row r="1663" spans="1:10" ht="16" x14ac:dyDescent="0.2">
      <c r="A1663" s="70"/>
      <c r="B1663" s="70"/>
      <c r="C1663" s="70"/>
      <c r="D1663" s="70"/>
      <c r="E1663" s="70"/>
      <c r="F1663" s="70"/>
      <c r="G1663" s="70"/>
      <c r="H1663" s="70"/>
      <c r="I1663" s="70"/>
      <c r="J1663" s="70"/>
    </row>
    <row r="1664" spans="1:10" ht="16" x14ac:dyDescent="0.2">
      <c r="A1664" s="70"/>
      <c r="B1664" s="70"/>
      <c r="C1664" s="70"/>
      <c r="D1664" s="70"/>
      <c r="E1664" s="70"/>
      <c r="F1664" s="70"/>
      <c r="G1664" s="70"/>
      <c r="H1664" s="70"/>
      <c r="I1664" s="70"/>
      <c r="J1664" s="70"/>
    </row>
    <row r="1665" spans="1:10" ht="16" x14ac:dyDescent="0.2">
      <c r="A1665" s="70"/>
      <c r="B1665" s="70"/>
      <c r="C1665" s="70"/>
      <c r="D1665" s="70"/>
      <c r="E1665" s="70"/>
      <c r="F1665" s="70"/>
      <c r="G1665" s="70"/>
      <c r="H1665" s="70"/>
      <c r="I1665" s="70"/>
      <c r="J1665" s="70"/>
    </row>
    <row r="1666" spans="1:10" ht="16" x14ac:dyDescent="0.2">
      <c r="A1666" s="70"/>
      <c r="B1666" s="70"/>
      <c r="C1666" s="70"/>
      <c r="D1666" s="70"/>
      <c r="E1666" s="70"/>
      <c r="F1666" s="70"/>
      <c r="G1666" s="70"/>
      <c r="H1666" s="70"/>
      <c r="I1666" s="70"/>
      <c r="J1666" s="70"/>
    </row>
    <row r="1667" spans="1:10" ht="16" x14ac:dyDescent="0.2">
      <c r="A1667" s="70"/>
      <c r="B1667" s="70"/>
      <c r="C1667" s="70"/>
      <c r="D1667" s="70"/>
      <c r="E1667" s="70"/>
      <c r="F1667" s="70"/>
      <c r="G1667" s="70"/>
      <c r="H1667" s="70"/>
      <c r="I1667" s="70"/>
      <c r="J1667" s="70"/>
    </row>
    <row r="1668" spans="1:10" ht="16" x14ac:dyDescent="0.2">
      <c r="A1668" s="70"/>
      <c r="B1668" s="70"/>
      <c r="C1668" s="70"/>
      <c r="D1668" s="70"/>
      <c r="E1668" s="70"/>
      <c r="F1668" s="70"/>
      <c r="G1668" s="70"/>
      <c r="H1668" s="70"/>
      <c r="I1668" s="70"/>
      <c r="J1668" s="70"/>
    </row>
    <row r="1669" spans="1:10" ht="16" x14ac:dyDescent="0.2">
      <c r="A1669" s="70"/>
      <c r="B1669" s="70"/>
      <c r="C1669" s="70"/>
      <c r="D1669" s="70"/>
      <c r="E1669" s="70"/>
      <c r="F1669" s="70"/>
      <c r="G1669" s="70"/>
      <c r="H1669" s="70"/>
      <c r="I1669" s="70"/>
      <c r="J1669" s="70"/>
    </row>
    <row r="1670" spans="1:10" ht="16" x14ac:dyDescent="0.2">
      <c r="A1670" s="70"/>
      <c r="B1670" s="70"/>
      <c r="C1670" s="70"/>
      <c r="D1670" s="70"/>
      <c r="E1670" s="70"/>
      <c r="F1670" s="70"/>
      <c r="G1670" s="70"/>
      <c r="H1670" s="70"/>
      <c r="I1670" s="70"/>
      <c r="J1670" s="70"/>
    </row>
    <row r="1671" spans="1:10" ht="16" x14ac:dyDescent="0.2">
      <c r="A1671" s="70"/>
      <c r="B1671" s="70"/>
      <c r="C1671" s="70"/>
      <c r="D1671" s="70"/>
      <c r="E1671" s="70"/>
      <c r="F1671" s="70"/>
      <c r="G1671" s="70"/>
      <c r="H1671" s="70"/>
      <c r="I1671" s="70"/>
      <c r="J1671" s="70"/>
    </row>
    <row r="1672" spans="1:10" ht="16" x14ac:dyDescent="0.2">
      <c r="A1672" s="70"/>
      <c r="B1672" s="70"/>
      <c r="C1672" s="70"/>
      <c r="D1672" s="70"/>
      <c r="E1672" s="70"/>
      <c r="F1672" s="70"/>
      <c r="G1672" s="70"/>
      <c r="H1672" s="70"/>
      <c r="I1672" s="70"/>
      <c r="J1672" s="70"/>
    </row>
    <row r="1673" spans="1:10" ht="16" x14ac:dyDescent="0.2">
      <c r="A1673" s="70"/>
      <c r="B1673" s="70"/>
      <c r="C1673" s="70"/>
      <c r="D1673" s="70"/>
      <c r="E1673" s="70"/>
      <c r="F1673" s="70"/>
      <c r="G1673" s="70"/>
      <c r="H1673" s="70"/>
      <c r="I1673" s="70"/>
      <c r="J1673" s="70"/>
    </row>
    <row r="1674" spans="1:10" ht="16" x14ac:dyDescent="0.2">
      <c r="A1674" s="70"/>
      <c r="B1674" s="70"/>
      <c r="C1674" s="70"/>
      <c r="D1674" s="70"/>
      <c r="E1674" s="70"/>
      <c r="F1674" s="70"/>
      <c r="G1674" s="70"/>
      <c r="H1674" s="70"/>
      <c r="I1674" s="70"/>
      <c r="J1674" s="70"/>
    </row>
    <row r="1675" spans="1:10" ht="16" x14ac:dyDescent="0.2">
      <c r="A1675" s="70"/>
      <c r="B1675" s="70"/>
      <c r="C1675" s="70"/>
      <c r="D1675" s="70"/>
      <c r="E1675" s="70"/>
      <c r="F1675" s="70"/>
      <c r="G1675" s="70"/>
      <c r="H1675" s="70"/>
      <c r="I1675" s="70"/>
      <c r="J1675" s="70"/>
    </row>
    <row r="1676" spans="1:10" ht="16" x14ac:dyDescent="0.2">
      <c r="A1676" s="70"/>
      <c r="B1676" s="70"/>
      <c r="C1676" s="70"/>
      <c r="D1676" s="70"/>
      <c r="E1676" s="70"/>
      <c r="F1676" s="70"/>
      <c r="G1676" s="70"/>
      <c r="H1676" s="70"/>
      <c r="I1676" s="70"/>
      <c r="J1676" s="70"/>
    </row>
    <row r="1677" spans="1:10" ht="16" x14ac:dyDescent="0.2">
      <c r="A1677" s="70"/>
      <c r="B1677" s="70"/>
      <c r="C1677" s="70"/>
      <c r="D1677" s="70"/>
      <c r="E1677" s="70"/>
      <c r="F1677" s="70"/>
      <c r="G1677" s="70"/>
      <c r="H1677" s="70"/>
      <c r="I1677" s="70"/>
      <c r="J1677" s="70"/>
    </row>
    <row r="1678" spans="1:10" ht="16" x14ac:dyDescent="0.2">
      <c r="A1678" s="70"/>
      <c r="B1678" s="70"/>
      <c r="C1678" s="70"/>
      <c r="D1678" s="70"/>
      <c r="E1678" s="70"/>
      <c r="F1678" s="70"/>
      <c r="G1678" s="70"/>
      <c r="H1678" s="70"/>
      <c r="I1678" s="70"/>
      <c r="J1678" s="70"/>
    </row>
    <row r="1679" spans="1:10" ht="16" x14ac:dyDescent="0.2">
      <c r="A1679" s="70"/>
      <c r="B1679" s="70"/>
      <c r="C1679" s="70"/>
      <c r="D1679" s="70"/>
      <c r="E1679" s="70"/>
      <c r="F1679" s="70"/>
      <c r="G1679" s="70"/>
      <c r="H1679" s="70"/>
      <c r="I1679" s="70"/>
      <c r="J1679" s="70"/>
    </row>
    <row r="1680" spans="1:10" ht="16" x14ac:dyDescent="0.2">
      <c r="A1680" s="70"/>
      <c r="B1680" s="70"/>
      <c r="C1680" s="70"/>
      <c r="D1680" s="70"/>
      <c r="E1680" s="70"/>
      <c r="F1680" s="70"/>
      <c r="G1680" s="70"/>
      <c r="H1680" s="70"/>
      <c r="I1680" s="70"/>
      <c r="J1680" s="70"/>
    </row>
    <row r="1681" spans="1:10" ht="16" x14ac:dyDescent="0.2">
      <c r="A1681" s="70"/>
      <c r="B1681" s="70"/>
      <c r="C1681" s="70"/>
      <c r="D1681" s="70"/>
      <c r="E1681" s="70"/>
      <c r="F1681" s="70"/>
      <c r="G1681" s="70"/>
      <c r="H1681" s="70"/>
      <c r="I1681" s="70"/>
      <c r="J1681" s="70"/>
    </row>
    <row r="1682" spans="1:10" ht="16" x14ac:dyDescent="0.2">
      <c r="A1682" s="70"/>
      <c r="B1682" s="70"/>
      <c r="C1682" s="70"/>
      <c r="D1682" s="70"/>
      <c r="E1682" s="70"/>
      <c r="F1682" s="70"/>
      <c r="G1682" s="70"/>
      <c r="H1682" s="70"/>
      <c r="I1682" s="70"/>
      <c r="J1682" s="70"/>
    </row>
    <row r="1683" spans="1:10" ht="16" x14ac:dyDescent="0.2">
      <c r="A1683" s="70"/>
      <c r="B1683" s="70"/>
      <c r="C1683" s="70"/>
      <c r="D1683" s="70"/>
      <c r="E1683" s="70"/>
      <c r="F1683" s="70"/>
      <c r="G1683" s="70"/>
      <c r="H1683" s="70"/>
      <c r="I1683" s="70"/>
      <c r="J1683" s="70"/>
    </row>
    <row r="1684" spans="1:10" ht="16" x14ac:dyDescent="0.2">
      <c r="A1684" s="70"/>
      <c r="B1684" s="70"/>
      <c r="C1684" s="70"/>
      <c r="D1684" s="70"/>
      <c r="E1684" s="70"/>
      <c r="F1684" s="70"/>
      <c r="G1684" s="70"/>
      <c r="H1684" s="70"/>
      <c r="I1684" s="70"/>
      <c r="J1684" s="70"/>
    </row>
    <row r="1685" spans="1:10" ht="16" x14ac:dyDescent="0.2">
      <c r="A1685" s="70"/>
      <c r="B1685" s="70"/>
      <c r="C1685" s="70"/>
      <c r="D1685" s="70"/>
      <c r="E1685" s="70"/>
      <c r="F1685" s="70"/>
      <c r="G1685" s="70"/>
      <c r="H1685" s="70"/>
      <c r="I1685" s="70"/>
      <c r="J1685" s="70"/>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baseColWidth="10" defaultColWidth="6.625" defaultRowHeight="13" x14ac:dyDescent="0.15"/>
  <cols>
    <col min="1" max="16384" width="6.625" style="264"/>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baseColWidth="10" defaultColWidth="10.625" defaultRowHeight="16" x14ac:dyDescent="0.2"/>
  <cols>
    <col min="2" max="2" width="10.625" style="212"/>
    <col min="3" max="3" width="93.25" customWidth="1"/>
  </cols>
  <sheetData>
    <row r="1" spans="1:26" s="134" customFormat="1" ht="36" customHeight="1" x14ac:dyDescent="0.15">
      <c r="A1" s="363" t="s">
        <v>2668</v>
      </c>
      <c r="B1" s="364"/>
      <c r="C1" s="365"/>
      <c r="D1" s="204"/>
      <c r="E1" s="204"/>
      <c r="F1" s="204"/>
      <c r="G1" s="204"/>
      <c r="H1" s="204"/>
      <c r="I1" s="205"/>
      <c r="J1" s="206"/>
      <c r="K1" s="206"/>
      <c r="L1" s="206"/>
      <c r="M1" s="206"/>
      <c r="N1" s="206"/>
      <c r="O1" s="206"/>
      <c r="P1" s="206"/>
      <c r="Q1" s="206"/>
      <c r="R1" s="206"/>
      <c r="S1" s="206"/>
      <c r="T1" s="206"/>
      <c r="U1" s="206"/>
      <c r="V1" s="206"/>
      <c r="W1" s="206"/>
      <c r="X1" s="206"/>
      <c r="Y1" s="206"/>
      <c r="Z1" s="206"/>
    </row>
    <row r="2" spans="1:26" s="134" customFormat="1" ht="25.5" customHeight="1" x14ac:dyDescent="0.15">
      <c r="A2" s="366" t="s">
        <v>95</v>
      </c>
      <c r="B2" s="367"/>
      <c r="C2" s="368"/>
      <c r="D2" s="207"/>
      <c r="E2" s="207"/>
      <c r="F2" s="207"/>
      <c r="G2" s="207"/>
      <c r="H2" s="207"/>
      <c r="I2" s="205"/>
      <c r="J2" s="206"/>
      <c r="K2" s="206"/>
      <c r="L2" s="206"/>
      <c r="M2" s="206"/>
      <c r="N2" s="206"/>
      <c r="O2" s="206"/>
      <c r="P2" s="206"/>
      <c r="Q2" s="206"/>
      <c r="R2" s="206"/>
      <c r="S2" s="206"/>
      <c r="T2" s="206"/>
      <c r="U2" s="206"/>
      <c r="V2" s="206"/>
      <c r="W2" s="206"/>
      <c r="X2" s="206"/>
      <c r="Y2" s="206"/>
      <c r="Z2" s="206"/>
    </row>
    <row r="3" spans="1:26" s="16" customFormat="1" ht="24" customHeight="1" x14ac:dyDescent="0.2">
      <c r="A3" s="208" t="s">
        <v>145</v>
      </c>
      <c r="B3" s="208" t="s">
        <v>0</v>
      </c>
      <c r="C3" s="208" t="s">
        <v>146</v>
      </c>
      <c r="D3" s="209"/>
      <c r="E3" s="209"/>
      <c r="F3" s="209"/>
      <c r="G3" s="209"/>
      <c r="H3" s="209"/>
      <c r="I3" s="209"/>
      <c r="J3" s="209"/>
      <c r="K3" s="209"/>
      <c r="L3" s="209"/>
      <c r="M3" s="209"/>
      <c r="N3" s="209"/>
      <c r="O3" s="209"/>
      <c r="P3" s="209"/>
      <c r="Q3" s="209"/>
      <c r="R3" s="209"/>
      <c r="S3" s="209"/>
      <c r="T3" s="209"/>
      <c r="U3" s="209"/>
      <c r="V3" s="209"/>
      <c r="W3" s="209"/>
      <c r="X3" s="209"/>
      <c r="Y3" s="209"/>
      <c r="Z3" s="209"/>
    </row>
    <row r="4" spans="1:26" ht="36" customHeight="1" x14ac:dyDescent="0.2">
      <c r="A4" s="210" t="s">
        <v>147</v>
      </c>
      <c r="B4" s="211">
        <v>42586</v>
      </c>
      <c r="C4" s="210" t="s">
        <v>479</v>
      </c>
    </row>
    <row r="5" spans="1:26" ht="36" customHeight="1" x14ac:dyDescent="0.2">
      <c r="A5" s="210" t="s">
        <v>158</v>
      </c>
      <c r="B5" s="211">
        <v>42596</v>
      </c>
      <c r="C5" s="144" t="s">
        <v>3047</v>
      </c>
    </row>
    <row r="6" spans="1:26" ht="36" customHeight="1" x14ac:dyDescent="0.2">
      <c r="A6" s="210" t="s">
        <v>159</v>
      </c>
      <c r="B6" s="211">
        <v>42597</v>
      </c>
      <c r="C6" s="210" t="s">
        <v>480</v>
      </c>
    </row>
    <row r="7" spans="1:26" ht="36" customHeight="1" x14ac:dyDescent="0.2">
      <c r="A7" s="210" t="s">
        <v>162</v>
      </c>
      <c r="B7" s="211">
        <v>42598</v>
      </c>
      <c r="C7" s="210" t="s">
        <v>481</v>
      </c>
    </row>
    <row r="8" spans="1:26" ht="36" customHeight="1" x14ac:dyDescent="0.2">
      <c r="A8" s="210" t="s">
        <v>426</v>
      </c>
      <c r="B8" s="211">
        <v>42606</v>
      </c>
      <c r="C8" s="210" t="s">
        <v>482</v>
      </c>
    </row>
    <row r="9" spans="1:26" ht="36" customHeight="1" x14ac:dyDescent="0.2">
      <c r="A9" s="210" t="s">
        <v>427</v>
      </c>
      <c r="B9" s="211">
        <v>42607</v>
      </c>
      <c r="C9" s="210" t="s">
        <v>483</v>
      </c>
    </row>
    <row r="10" spans="1:26" ht="36" customHeight="1" x14ac:dyDescent="0.2">
      <c r="A10" s="210" t="s">
        <v>450</v>
      </c>
      <c r="B10" s="211">
        <v>42608</v>
      </c>
      <c r="C10" s="210" t="s">
        <v>484</v>
      </c>
    </row>
    <row r="11" spans="1:26" ht="36" customHeight="1" x14ac:dyDescent="0.2">
      <c r="A11" s="210" t="s">
        <v>462</v>
      </c>
      <c r="B11" s="211">
        <v>42608</v>
      </c>
      <c r="C11" s="210" t="s">
        <v>463</v>
      </c>
    </row>
    <row r="12" spans="1:26" ht="36" customHeight="1" x14ac:dyDescent="0.2">
      <c r="A12" s="210" t="s">
        <v>464</v>
      </c>
      <c r="B12" s="211">
        <v>42634</v>
      </c>
      <c r="C12" s="210" t="s">
        <v>465</v>
      </c>
    </row>
    <row r="13" spans="1:26" ht="36" customHeight="1" x14ac:dyDescent="0.2">
      <c r="A13" s="210" t="s">
        <v>468</v>
      </c>
      <c r="B13" s="211">
        <v>42636</v>
      </c>
      <c r="C13" s="210" t="s">
        <v>478</v>
      </c>
    </row>
    <row r="14" spans="1:26" ht="36" customHeight="1" x14ac:dyDescent="0.2">
      <c r="A14" s="210" t="s">
        <v>476</v>
      </c>
      <c r="B14" s="211">
        <v>42639</v>
      </c>
      <c r="C14" s="210" t="s">
        <v>477</v>
      </c>
    </row>
    <row r="15" spans="1:26" ht="36" customHeight="1" x14ac:dyDescent="0.2">
      <c r="A15" s="210" t="s">
        <v>491</v>
      </c>
      <c r="B15" s="211">
        <v>42649</v>
      </c>
      <c r="C15" s="210" t="s">
        <v>512</v>
      </c>
    </row>
    <row r="16" spans="1:26" ht="36" customHeight="1" x14ac:dyDescent="0.2">
      <c r="A16" s="210" t="s">
        <v>492</v>
      </c>
      <c r="B16" s="211">
        <v>42660</v>
      </c>
      <c r="C16" s="210" t="s">
        <v>513</v>
      </c>
    </row>
    <row r="17" spans="1:3" ht="36" customHeight="1" x14ac:dyDescent="0.2">
      <c r="A17" s="210" t="s">
        <v>493</v>
      </c>
      <c r="B17" s="211">
        <v>42690</v>
      </c>
      <c r="C17" s="210" t="s">
        <v>494</v>
      </c>
    </row>
    <row r="18" spans="1:3" ht="36" customHeight="1" x14ac:dyDescent="0.2">
      <c r="A18" s="210" t="s">
        <v>500</v>
      </c>
      <c r="B18" s="211">
        <v>42695</v>
      </c>
      <c r="C18" s="144" t="s">
        <v>3048</v>
      </c>
    </row>
    <row r="19" spans="1:3" ht="36" customHeight="1" x14ac:dyDescent="0.2">
      <c r="A19" s="210" t="s">
        <v>510</v>
      </c>
      <c r="B19" s="211">
        <v>42697</v>
      </c>
      <c r="C19" s="210" t="s">
        <v>511</v>
      </c>
    </row>
    <row r="20" spans="1:3" ht="36" customHeight="1" x14ac:dyDescent="0.2">
      <c r="A20" s="210" t="s">
        <v>530</v>
      </c>
      <c r="B20" s="211">
        <v>42847</v>
      </c>
      <c r="C20" s="210" t="s">
        <v>531</v>
      </c>
    </row>
    <row r="21" spans="1:3" ht="36" customHeight="1" x14ac:dyDescent="0.2">
      <c r="A21" s="210" t="s">
        <v>532</v>
      </c>
      <c r="B21" s="211">
        <v>42853</v>
      </c>
      <c r="C21" s="210" t="s">
        <v>533</v>
      </c>
    </row>
    <row r="22" spans="1:3" ht="36" customHeight="1" x14ac:dyDescent="0.2">
      <c r="A22" s="210" t="s">
        <v>888</v>
      </c>
      <c r="B22" s="211">
        <v>43032</v>
      </c>
      <c r="C22" s="210" t="s">
        <v>889</v>
      </c>
    </row>
    <row r="23" spans="1:3" ht="36" customHeight="1" x14ac:dyDescent="0.2">
      <c r="A23" s="144" t="s">
        <v>2633</v>
      </c>
      <c r="B23" s="211">
        <v>43386</v>
      </c>
      <c r="C23" s="144" t="s">
        <v>2652</v>
      </c>
    </row>
    <row r="24" spans="1:3" ht="36" customHeight="1" x14ac:dyDescent="0.2">
      <c r="A24" s="144" t="s">
        <v>2662</v>
      </c>
      <c r="B24" s="211">
        <v>43405</v>
      </c>
      <c r="C24" s="144" t="s">
        <v>2663</v>
      </c>
    </row>
    <row r="25" spans="1:3" ht="36" customHeight="1" x14ac:dyDescent="0.2">
      <c r="A25" s="144" t="s">
        <v>2985</v>
      </c>
      <c r="B25" s="211">
        <v>43490</v>
      </c>
      <c r="C25" s="144" t="s">
        <v>2664</v>
      </c>
    </row>
    <row r="26" spans="1:3" ht="36" customHeight="1" x14ac:dyDescent="0.2">
      <c r="A26" s="144" t="s">
        <v>2986</v>
      </c>
      <c r="B26" s="211">
        <v>43543</v>
      </c>
      <c r="C26" s="210" t="s">
        <v>2665</v>
      </c>
    </row>
    <row r="27" spans="1:3" ht="36" customHeight="1" x14ac:dyDescent="0.2">
      <c r="A27" s="210" t="s">
        <v>2987</v>
      </c>
      <c r="B27" s="211">
        <v>43584</v>
      </c>
      <c r="C27" s="210" t="s">
        <v>2666</v>
      </c>
    </row>
    <row r="28" spans="1:3" ht="36" customHeight="1" x14ac:dyDescent="0.2">
      <c r="A28" s="210" t="s">
        <v>2988</v>
      </c>
      <c r="B28" s="211">
        <v>43742</v>
      </c>
      <c r="C28" s="210" t="s">
        <v>2976</v>
      </c>
    </row>
    <row r="29" spans="1:3" ht="36" customHeight="1" x14ac:dyDescent="0.2">
      <c r="A29" s="210" t="s">
        <v>3059</v>
      </c>
      <c r="B29" s="211">
        <v>43790</v>
      </c>
      <c r="C29" s="210" t="s">
        <v>3060</v>
      </c>
    </row>
    <row r="30" spans="1:3" ht="36" customHeight="1" x14ac:dyDescent="0.2">
      <c r="A30" s="210"/>
      <c r="B30" s="263"/>
      <c r="C30" s="210"/>
    </row>
    <row r="31" spans="1:3" ht="36" customHeight="1" x14ac:dyDescent="0.2">
      <c r="A31" s="210"/>
      <c r="B31" s="263"/>
      <c r="C31" s="210"/>
    </row>
    <row r="32" spans="1:3" ht="36" customHeight="1" x14ac:dyDescent="0.2">
      <c r="A32" s="210"/>
      <c r="B32" s="263"/>
      <c r="C32" s="210"/>
    </row>
    <row r="33" spans="1:3" ht="36" customHeight="1" x14ac:dyDescent="0.2">
      <c r="A33" s="210"/>
      <c r="B33" s="263"/>
      <c r="C33" s="210"/>
    </row>
    <row r="34" spans="1:3" ht="36" customHeight="1" x14ac:dyDescent="0.2">
      <c r="A34" s="210"/>
      <c r="B34" s="263"/>
      <c r="C34" s="210"/>
    </row>
    <row r="35" spans="1:3" ht="36" customHeight="1" x14ac:dyDescent="0.2">
      <c r="A35" s="210"/>
      <c r="B35" s="263"/>
      <c r="C35" s="210"/>
    </row>
    <row r="36" spans="1:3" ht="36" customHeight="1" x14ac:dyDescent="0.2">
      <c r="A36" s="210"/>
      <c r="B36" s="263"/>
      <c r="C36" s="210"/>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baseColWidth="10" defaultColWidth="11.25" defaultRowHeight="16" x14ac:dyDescent="0.2"/>
  <cols>
    <col min="1" max="1" width="37" customWidth="1"/>
  </cols>
  <sheetData>
    <row r="1" spans="1:1" ht="17" x14ac:dyDescent="0.2">
      <c r="A1" s="2" t="s">
        <v>80</v>
      </c>
    </row>
    <row r="3" spans="1:1" ht="17" x14ac:dyDescent="0.2">
      <c r="A3" s="2" t="s">
        <v>81</v>
      </c>
    </row>
    <row r="4" spans="1:1" ht="17" x14ac:dyDescent="0.2">
      <c r="A4" t="s">
        <v>16</v>
      </c>
    </row>
    <row r="5" spans="1:1" ht="17" x14ac:dyDescent="0.2">
      <c r="A5" t="s">
        <v>19</v>
      </c>
    </row>
    <row r="6" spans="1:1" ht="17" x14ac:dyDescent="0.2">
      <c r="A6" t="s">
        <v>82</v>
      </c>
    </row>
    <row r="8" spans="1:1" ht="17" x14ac:dyDescent="0.2">
      <c r="A8" s="2" t="s">
        <v>83</v>
      </c>
    </row>
    <row r="9" spans="1:1" ht="17" x14ac:dyDescent="0.2">
      <c r="A9" t="s">
        <v>84</v>
      </c>
    </row>
    <row r="10" spans="1:1" ht="17" x14ac:dyDescent="0.2">
      <c r="A10" t="s">
        <v>85</v>
      </c>
    </row>
    <row r="11" spans="1:1" ht="17" x14ac:dyDescent="0.2">
      <c r="A11" t="s">
        <v>86</v>
      </c>
    </row>
    <row r="12" spans="1:1" ht="17" x14ac:dyDescent="0.2">
      <c r="A12" t="s">
        <v>29</v>
      </c>
    </row>
    <row r="14" spans="1:1" ht="17" x14ac:dyDescent="0.2">
      <c r="A14" s="2" t="s">
        <v>87</v>
      </c>
    </row>
    <row r="15" spans="1:1" ht="17" x14ac:dyDescent="0.2">
      <c r="A15" t="s">
        <v>88</v>
      </c>
    </row>
    <row r="16" spans="1:1" ht="17" x14ac:dyDescent="0.2">
      <c r="A16" t="s">
        <v>89</v>
      </c>
    </row>
    <row r="17" spans="1:1" ht="17" x14ac:dyDescent="0.2">
      <c r="A17" t="s">
        <v>90</v>
      </c>
    </row>
    <row r="18" spans="1:1" ht="17" x14ac:dyDescent="0.2">
      <c r="A18" t="s">
        <v>91</v>
      </c>
    </row>
    <row r="19" spans="1:1" ht="17" x14ac:dyDescent="0.2">
      <c r="A19" t="s">
        <v>29</v>
      </c>
    </row>
    <row r="21" spans="1:1" ht="17" x14ac:dyDescent="0.2">
      <c r="A21" s="2" t="s">
        <v>114</v>
      </c>
    </row>
    <row r="22" spans="1:1" ht="17" x14ac:dyDescent="0.2">
      <c r="A22" t="s">
        <v>115</v>
      </c>
    </row>
    <row r="23" spans="1:1" ht="17" x14ac:dyDescent="0.2">
      <c r="A23" t="s">
        <v>116</v>
      </c>
    </row>
    <row r="25" spans="1:1" ht="17" x14ac:dyDescent="0.2">
      <c r="A25" s="2" t="s">
        <v>485</v>
      </c>
    </row>
    <row r="26" spans="1:1" ht="17" x14ac:dyDescent="0.2">
      <c r="A26" t="s">
        <v>486</v>
      </c>
    </row>
    <row r="27" spans="1:1" ht="17" x14ac:dyDescent="0.2">
      <c r="A27" t="s">
        <v>487</v>
      </c>
    </row>
    <row r="29" spans="1:1" ht="17" x14ac:dyDescent="0.2">
      <c r="A29" s="2" t="s">
        <v>488</v>
      </c>
    </row>
    <row r="30" spans="1:1" ht="17" x14ac:dyDescent="0.2">
      <c r="A30" t="s">
        <v>489</v>
      </c>
    </row>
    <row r="31" spans="1:1" ht="17" x14ac:dyDescent="0.2">
      <c r="A31" t="s">
        <v>490</v>
      </c>
    </row>
    <row r="33" spans="1:1" ht="17" x14ac:dyDescent="0.2">
      <c r="A33" s="2" t="s">
        <v>495</v>
      </c>
    </row>
    <row r="34" spans="1:1" ht="17" x14ac:dyDescent="0.2">
      <c r="A34" t="s">
        <v>496</v>
      </c>
    </row>
    <row r="35" spans="1:1" ht="17" x14ac:dyDescent="0.2">
      <c r="A35" t="s">
        <v>497</v>
      </c>
    </row>
    <row r="36" spans="1:1" ht="17" x14ac:dyDescent="0.2">
      <c r="A36" t="s">
        <v>498</v>
      </c>
    </row>
    <row r="37" spans="1:1" ht="17" x14ac:dyDescent="0.2">
      <c r="A37" t="s">
        <v>499</v>
      </c>
    </row>
    <row r="38" spans="1:1" ht="17" x14ac:dyDescent="0.2">
      <c r="A38" t="s">
        <v>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XEN1" zoomScaleNormal="100" workbookViewId="0">
      <selection activeCell="XFD1" sqref="XFD1"/>
    </sheetView>
  </sheetViews>
  <sheetFormatPr baseColWidth="10" defaultColWidth="10.625" defaultRowHeight="16" x14ac:dyDescent="0.2"/>
  <cols>
    <col min="1" max="1" width="18.375" customWidth="1"/>
    <col min="2" max="2" width="88.125" customWidth="1"/>
  </cols>
  <sheetData>
    <row r="1" spans="1:256" ht="45.75" customHeight="1" x14ac:dyDescent="0.2">
      <c r="A1" s="290" t="s">
        <v>2980</v>
      </c>
      <c r="B1" s="290"/>
    </row>
    <row r="2" spans="1:256" ht="26" customHeight="1" x14ac:dyDescent="0.15">
      <c r="A2" s="291"/>
      <c r="B2" s="291"/>
      <c r="C2" s="20"/>
      <c r="D2" s="20"/>
      <c r="E2" s="20"/>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6" customFormat="1" ht="24" customHeight="1" x14ac:dyDescent="0.2">
      <c r="A3" s="288" t="s">
        <v>452</v>
      </c>
      <c r="B3" s="289"/>
    </row>
    <row r="4" spans="1:256" ht="72" customHeight="1" x14ac:dyDescent="0.2">
      <c r="A4" s="287" t="s">
        <v>2653</v>
      </c>
      <c r="B4" s="287"/>
    </row>
    <row r="5" spans="1:256" s="16" customFormat="1" ht="24" customHeight="1" x14ac:dyDescent="0.2">
      <c r="A5" s="288" t="s">
        <v>453</v>
      </c>
      <c r="B5" s="289"/>
    </row>
    <row r="6" spans="1:256" ht="84" customHeight="1" x14ac:dyDescent="0.2">
      <c r="A6" s="287" t="s">
        <v>2979</v>
      </c>
      <c r="B6" s="287"/>
    </row>
    <row r="7" spans="1:256" ht="55.25" customHeight="1" x14ac:dyDescent="0.2">
      <c r="A7" s="21" t="s">
        <v>1</v>
      </c>
      <c r="B7" s="14" t="s">
        <v>2654</v>
      </c>
    </row>
    <row r="8" spans="1:256" ht="54" customHeight="1" x14ac:dyDescent="0.2">
      <c r="A8" s="21" t="s">
        <v>11</v>
      </c>
      <c r="B8" s="14" t="s">
        <v>455</v>
      </c>
    </row>
    <row r="9" spans="1:256" ht="36" customHeight="1" x14ac:dyDescent="0.2">
      <c r="A9" s="21" t="s">
        <v>17</v>
      </c>
      <c r="B9" s="14" t="s">
        <v>2655</v>
      </c>
    </row>
    <row r="10" spans="1:256" ht="36" customHeight="1" x14ac:dyDescent="0.2">
      <c r="A10" s="21" t="s">
        <v>151</v>
      </c>
      <c r="B10" s="14" t="s">
        <v>456</v>
      </c>
    </row>
    <row r="11" spans="1:256" ht="36" customHeight="1" x14ac:dyDescent="0.2">
      <c r="A11" s="21" t="s">
        <v>454</v>
      </c>
      <c r="B11" s="14" t="s">
        <v>2611</v>
      </c>
    </row>
    <row r="12" spans="1:256" ht="96" customHeight="1" x14ac:dyDescent="0.2">
      <c r="A12" s="287" t="s">
        <v>459</v>
      </c>
      <c r="B12" s="287"/>
    </row>
    <row r="13" spans="1:256" ht="124.25" customHeight="1" x14ac:dyDescent="0.2">
      <c r="A13" s="295" t="s">
        <v>457</v>
      </c>
      <c r="B13" s="296"/>
    </row>
    <row r="14" spans="1:256" s="16" customFormat="1" ht="24" customHeight="1" x14ac:dyDescent="0.2">
      <c r="A14" s="288" t="s">
        <v>460</v>
      </c>
      <c r="B14" s="289"/>
    </row>
    <row r="15" spans="1:256" ht="56" customHeight="1" x14ac:dyDescent="0.2">
      <c r="A15" s="287" t="s">
        <v>461</v>
      </c>
      <c r="B15" s="287"/>
    </row>
    <row r="16" spans="1:256" ht="112.25" customHeight="1" x14ac:dyDescent="0.2">
      <c r="A16" s="295" t="s">
        <v>458</v>
      </c>
      <c r="B16" s="296"/>
    </row>
    <row r="17" spans="1:2" s="16" customFormat="1" ht="24" customHeight="1" x14ac:dyDescent="0.2">
      <c r="A17" s="288" t="s">
        <v>2638</v>
      </c>
      <c r="B17" s="289"/>
    </row>
    <row r="18" spans="1:2" s="134" customFormat="1" ht="36" customHeight="1" x14ac:dyDescent="0.2">
      <c r="A18" s="175" t="s">
        <v>2627</v>
      </c>
      <c r="B18" s="158" t="s">
        <v>2981</v>
      </c>
    </row>
    <row r="19" spans="1:2" s="134" customFormat="1" ht="36" customHeight="1" x14ac:dyDescent="0.2">
      <c r="A19" s="175" t="s">
        <v>2636</v>
      </c>
      <c r="B19" s="192" t="s">
        <v>2656</v>
      </c>
    </row>
    <row r="20" spans="1:2" s="134" customFormat="1" ht="36" customHeight="1" x14ac:dyDescent="0.2">
      <c r="A20" s="175" t="s">
        <v>2635</v>
      </c>
      <c r="B20" s="158" t="s">
        <v>2637</v>
      </c>
    </row>
    <row r="21" spans="1:2" s="134" customFormat="1" ht="86" customHeight="1" x14ac:dyDescent="0.2">
      <c r="A21" s="299" t="s">
        <v>2657</v>
      </c>
      <c r="B21" s="300"/>
    </row>
    <row r="22" spans="1:2" s="134" customFormat="1" ht="124" customHeight="1" x14ac:dyDescent="0.2">
      <c r="A22" s="198"/>
      <c r="B22" s="199" t="s">
        <v>2658</v>
      </c>
    </row>
    <row r="23" spans="1:2" s="16" customFormat="1" ht="24" customHeight="1" x14ac:dyDescent="0.2">
      <c r="A23" s="288" t="s">
        <v>2634</v>
      </c>
      <c r="B23" s="289"/>
    </row>
    <row r="24" spans="1:2" s="134" customFormat="1" ht="54" customHeight="1" x14ac:dyDescent="0.2">
      <c r="A24" s="298" t="s">
        <v>2659</v>
      </c>
      <c r="B24" s="287"/>
    </row>
    <row r="25" spans="1:2" ht="36" customHeight="1" x14ac:dyDescent="0.2">
      <c r="A25" s="297" t="s">
        <v>2989</v>
      </c>
      <c r="B25" s="297"/>
    </row>
    <row r="26" spans="1:2" ht="47" customHeight="1" x14ac:dyDescent="0.2">
      <c r="A26" s="294"/>
      <c r="B26" s="294"/>
    </row>
    <row r="27" spans="1:2" s="16" customFormat="1" ht="36" customHeight="1" x14ac:dyDescent="0.2">
      <c r="A27" s="292" t="s">
        <v>2617</v>
      </c>
      <c r="B27" s="293"/>
    </row>
    <row r="28" spans="1:2" s="134" customFormat="1" ht="136" customHeight="1" x14ac:dyDescent="0.2">
      <c r="A28" s="287" t="s">
        <v>2990</v>
      </c>
      <c r="B28" s="287"/>
    </row>
    <row r="29" spans="1:2" x14ac:dyDescent="0.2">
      <c r="A29" s="18"/>
    </row>
    <row r="30" spans="1:2" x14ac:dyDescent="0.2">
      <c r="A30" s="17"/>
    </row>
    <row r="32" spans="1:2" x14ac:dyDescent="0.2">
      <c r="A32" s="17"/>
    </row>
    <row r="35" spans="1:1" x14ac:dyDescent="0.2">
      <c r="A35" s="19"/>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tabSelected="1" topLeftCell="A61" zoomScaleNormal="100" workbookViewId="0">
      <selection activeCell="D69" sqref="D69"/>
    </sheetView>
  </sheetViews>
  <sheetFormatPr baseColWidth="10" defaultColWidth="6.625" defaultRowHeight="15" customHeight="1" x14ac:dyDescent="0.15"/>
  <cols>
    <col min="1" max="1" width="8.25" style="102" customWidth="1"/>
    <col min="2" max="2" width="58.5" style="3" customWidth="1"/>
    <col min="3" max="3" width="20" style="24" customWidth="1"/>
    <col min="4" max="4" width="50.625" style="5" customWidth="1"/>
    <col min="5" max="5" width="32" style="6" customWidth="1"/>
    <col min="6" max="256" width="6.625" style="3" customWidth="1"/>
  </cols>
  <sheetData>
    <row r="1" spans="1:256" ht="36" customHeight="1" x14ac:dyDescent="0.15">
      <c r="A1" s="309" t="s">
        <v>2977</v>
      </c>
      <c r="B1" s="309"/>
      <c r="C1" s="309"/>
      <c r="D1" s="309"/>
      <c r="E1" s="202" t="s">
        <v>3061</v>
      </c>
    </row>
    <row r="2" spans="1:256" ht="26" customHeight="1" x14ac:dyDescent="0.15">
      <c r="A2" s="291" t="s">
        <v>95</v>
      </c>
      <c r="B2" s="291"/>
      <c r="C2" s="291"/>
      <c r="D2" s="291"/>
      <c r="E2" s="291"/>
    </row>
    <row r="3" spans="1:256" ht="29" customHeight="1" x14ac:dyDescent="0.15">
      <c r="A3" s="22" t="s">
        <v>425</v>
      </c>
      <c r="B3" s="8" t="s">
        <v>0</v>
      </c>
      <c r="C3" s="310">
        <v>44207</v>
      </c>
      <c r="D3" s="310"/>
      <c r="E3" s="310"/>
    </row>
    <row r="4" spans="1:256" ht="36" customHeight="1" x14ac:dyDescent="0.15">
      <c r="A4" s="304" t="s">
        <v>1</v>
      </c>
      <c r="B4" s="304"/>
      <c r="C4" s="25"/>
      <c r="D4" s="26"/>
      <c r="E4" s="27"/>
    </row>
    <row r="5" spans="1:256" ht="72" customHeight="1" x14ac:dyDescent="0.15">
      <c r="A5" s="305" t="s">
        <v>2975</v>
      </c>
      <c r="B5" s="305"/>
      <c r="C5" s="305"/>
      <c r="D5" s="305"/>
      <c r="E5" s="305"/>
    </row>
    <row r="6" spans="1:256" ht="24" customHeight="1" x14ac:dyDescent="0.15">
      <c r="A6" s="312" t="s">
        <v>2548</v>
      </c>
      <c r="B6" s="312"/>
      <c r="C6" s="312"/>
      <c r="D6" s="312"/>
      <c r="E6" s="312"/>
    </row>
    <row r="7" spans="1:256" ht="22.25" customHeight="1" x14ac:dyDescent="0.15">
      <c r="A7" s="15" t="s">
        <v>430</v>
      </c>
      <c r="B7" s="28" t="s">
        <v>2</v>
      </c>
      <c r="C7" s="307" t="s">
        <v>3062</v>
      </c>
      <c r="D7" s="307"/>
      <c r="E7" s="307"/>
    </row>
    <row r="8" spans="1:256" ht="22.25" customHeight="1" x14ac:dyDescent="0.15">
      <c r="A8" s="15" t="s">
        <v>431</v>
      </c>
      <c r="B8" s="28" t="s">
        <v>3</v>
      </c>
      <c r="C8" s="307" t="s">
        <v>3063</v>
      </c>
      <c r="D8" s="307"/>
      <c r="E8" s="307"/>
    </row>
    <row r="9" spans="1:256" ht="22.25" customHeight="1" x14ac:dyDescent="0.15">
      <c r="A9" s="15" t="s">
        <v>432</v>
      </c>
      <c r="B9" s="28" t="s">
        <v>4</v>
      </c>
      <c r="C9" s="307" t="s">
        <v>3064</v>
      </c>
      <c r="D9" s="307"/>
      <c r="E9" s="307"/>
    </row>
    <row r="10" spans="1:256" ht="22.25" customHeight="1" x14ac:dyDescent="0.15">
      <c r="A10" s="15" t="s">
        <v>433</v>
      </c>
      <c r="B10" s="28" t="s">
        <v>5</v>
      </c>
      <c r="C10" s="308" t="s">
        <v>3065</v>
      </c>
      <c r="D10" s="307"/>
      <c r="E10" s="307"/>
    </row>
    <row r="11" spans="1:256" ht="22.25" customHeight="1" x14ac:dyDescent="0.15">
      <c r="A11" s="15" t="s">
        <v>434</v>
      </c>
      <c r="B11" s="28" t="s">
        <v>6</v>
      </c>
      <c r="C11" s="307" t="s">
        <v>3066</v>
      </c>
      <c r="D11" s="307"/>
      <c r="E11" s="307"/>
    </row>
    <row r="12" spans="1:256" ht="22.25" customHeight="1" x14ac:dyDescent="0.15">
      <c r="A12" s="15" t="s">
        <v>435</v>
      </c>
      <c r="B12" s="28" t="s">
        <v>7</v>
      </c>
      <c r="C12" s="307" t="s">
        <v>3067</v>
      </c>
      <c r="D12" s="307"/>
      <c r="E12" s="307"/>
    </row>
    <row r="13" spans="1:256" ht="22.25" customHeight="1" x14ac:dyDescent="0.15">
      <c r="A13" s="15" t="s">
        <v>436</v>
      </c>
      <c r="B13" s="28" t="s">
        <v>8</v>
      </c>
      <c r="C13" s="308" t="s">
        <v>3068</v>
      </c>
      <c r="D13" s="307"/>
      <c r="E13" s="307"/>
    </row>
    <row r="14" spans="1:256" ht="22.25" customHeight="1" x14ac:dyDescent="0.15">
      <c r="A14" s="15" t="s">
        <v>437</v>
      </c>
      <c r="B14" s="28" t="s">
        <v>9</v>
      </c>
      <c r="C14" s="307">
        <v>8013684343</v>
      </c>
      <c r="D14" s="307"/>
      <c r="E14" s="307"/>
    </row>
    <row r="15" spans="1:256" s="134" customFormat="1" ht="22.25" customHeight="1" x14ac:dyDescent="0.15">
      <c r="A15" s="15" t="s">
        <v>438</v>
      </c>
      <c r="B15" s="28" t="s">
        <v>2635</v>
      </c>
      <c r="C15" s="307" t="s">
        <v>3069</v>
      </c>
      <c r="D15" s="307"/>
      <c r="E15" s="307"/>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4" customFormat="1" ht="22.25" customHeight="1" x14ac:dyDescent="0.15">
      <c r="A16" s="15" t="s">
        <v>439</v>
      </c>
      <c r="B16" s="28" t="s">
        <v>2636</v>
      </c>
      <c r="C16" s="307" t="s">
        <v>3069</v>
      </c>
      <c r="D16" s="307"/>
      <c r="E16" s="307"/>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15">
      <c r="A17" s="312" t="s">
        <v>2639</v>
      </c>
      <c r="B17" s="312"/>
      <c r="C17" s="312"/>
      <c r="D17" s="312"/>
      <c r="E17" s="312"/>
    </row>
    <row r="18" spans="1:5" ht="22.25" customHeight="1" x14ac:dyDescent="0.15">
      <c r="A18" s="15" t="s">
        <v>2640</v>
      </c>
      <c r="B18" s="28" t="s">
        <v>2549</v>
      </c>
      <c r="C18" s="306" t="s">
        <v>2550</v>
      </c>
      <c r="D18" s="306"/>
      <c r="E18" s="306"/>
    </row>
    <row r="19" spans="1:5" ht="22.25" customHeight="1" x14ac:dyDescent="0.15">
      <c r="A19" s="15" t="s">
        <v>2641</v>
      </c>
      <c r="B19" s="28" t="s">
        <v>96</v>
      </c>
      <c r="C19" s="311" t="s">
        <v>2102</v>
      </c>
      <c r="D19" s="311"/>
      <c r="E19" s="311"/>
    </row>
    <row r="20" spans="1:5" ht="36" customHeight="1" x14ac:dyDescent="0.15">
      <c r="A20" s="304" t="s">
        <v>10</v>
      </c>
      <c r="B20" s="304"/>
      <c r="C20" s="25"/>
      <c r="D20" s="26"/>
      <c r="E20" s="27"/>
    </row>
    <row r="21" spans="1:5" ht="48" customHeight="1" x14ac:dyDescent="0.15">
      <c r="A21" s="305" t="s">
        <v>2667</v>
      </c>
      <c r="B21" s="305"/>
      <c r="C21" s="305"/>
      <c r="D21" s="305"/>
      <c r="E21" s="305"/>
    </row>
    <row r="22" spans="1:5" ht="37.25" customHeight="1" x14ac:dyDescent="0.15">
      <c r="A22" s="304" t="s">
        <v>11</v>
      </c>
      <c r="B22" s="304"/>
      <c r="C22" s="25" t="s">
        <v>12</v>
      </c>
      <c r="D22" s="25" t="s">
        <v>13</v>
      </c>
      <c r="E22" s="7" t="s">
        <v>14</v>
      </c>
    </row>
    <row r="23" spans="1:5" ht="48" customHeight="1" x14ac:dyDescent="0.15">
      <c r="A23" s="305" t="s">
        <v>2660</v>
      </c>
      <c r="B23" s="305"/>
      <c r="C23" s="305"/>
      <c r="D23" s="305"/>
      <c r="E23" s="305"/>
    </row>
    <row r="24" spans="1:5" ht="48" customHeight="1" x14ac:dyDescent="0.15">
      <c r="A24" s="15" t="s">
        <v>163</v>
      </c>
      <c r="B24" s="30" t="s">
        <v>94</v>
      </c>
      <c r="C24" s="12" t="s">
        <v>19</v>
      </c>
      <c r="D24" s="148"/>
      <c r="E24" s="9" t="str">
        <f>IF(C24="","",IF(C24="Yes","You are required to complete the questions in the HIPAA section.","Responses to the questions in the HIPAA section are optional."))</f>
        <v>Responses to the questions in the HIPAA section are optional.</v>
      </c>
    </row>
    <row r="25" spans="1:5" ht="48" customHeight="1" x14ac:dyDescent="0.15">
      <c r="A25" s="15" t="s">
        <v>164</v>
      </c>
      <c r="B25" s="30" t="s">
        <v>565</v>
      </c>
      <c r="C25" s="12" t="s">
        <v>16</v>
      </c>
      <c r="D25" s="149"/>
      <c r="E25" s="9" t="str">
        <f>IF(C25="","",IF(C25="Yes","You are required to complete the questions in the Mobile Application section.","Responses to the questions in the Mobile Application section are optional."))</f>
        <v>You are required to complete the questions in the Mobile Application section.</v>
      </c>
    </row>
    <row r="26" spans="1:5" ht="48" customHeight="1" x14ac:dyDescent="0.15">
      <c r="A26" s="15" t="s">
        <v>165</v>
      </c>
      <c r="B26" s="30" t="s">
        <v>566</v>
      </c>
      <c r="C26" s="12" t="s">
        <v>16</v>
      </c>
      <c r="D26" s="149"/>
      <c r="E26" s="9" t="str">
        <f>IF(C26="","",IF(C26="Yes","You are required to complete the questions in the Third Parties section.","Responses to the questions in the Third Parties section are optional."))</f>
        <v>You are required to complete the questions in the Third Parties section.</v>
      </c>
    </row>
    <row r="27" spans="1:5" ht="48" customHeight="1" x14ac:dyDescent="0.15">
      <c r="A27" s="15" t="s">
        <v>166</v>
      </c>
      <c r="B27" s="30" t="s">
        <v>154</v>
      </c>
      <c r="C27" s="12" t="s">
        <v>16</v>
      </c>
      <c r="D27" s="148"/>
      <c r="E27" s="9" t="str">
        <f>IF(C27="","",IF(C27="Yes","You are required to complete the questions in the Business Continuity section.","Respond to as many questions in the Business Continuity section as possible."))</f>
        <v>You are required to complete the questions in the Business Continuity section.</v>
      </c>
    </row>
    <row r="28" spans="1:5" ht="48" customHeight="1" x14ac:dyDescent="0.15">
      <c r="A28" s="15" t="s">
        <v>167</v>
      </c>
      <c r="B28" s="30" t="s">
        <v>155</v>
      </c>
      <c r="C28" s="12" t="s">
        <v>16</v>
      </c>
      <c r="D28" s="148"/>
      <c r="E28" s="9" t="str">
        <f>IF(C28="","",IF(C28="Yes","You are required to complete the questions in the Disaster Recovery section.","Respond to as many questions in the Disaster Recovery section as possible."))</f>
        <v>You are required to complete the questions in the Disaster Recovery section.</v>
      </c>
    </row>
    <row r="29" spans="1:5" ht="48" customHeight="1" x14ac:dyDescent="0.15">
      <c r="A29" s="15" t="s">
        <v>168</v>
      </c>
      <c r="B29" s="30" t="s">
        <v>15</v>
      </c>
      <c r="C29" s="12" t="s">
        <v>19</v>
      </c>
      <c r="D29" s="148"/>
      <c r="E29" s="9" t="str">
        <f>IF(C29="","",IF(C29="Yes","You are required to complete the questions in the PCI DSS section.","Responses to the questions in the PCI DSS section are optional."))</f>
        <v>Responses to the questions in the PCI DSS section are optional.</v>
      </c>
    </row>
    <row r="30" spans="1:5" ht="64.25" customHeight="1" x14ac:dyDescent="0.15">
      <c r="A30" s="15" t="s">
        <v>169</v>
      </c>
      <c r="B30" s="30" t="s">
        <v>514</v>
      </c>
      <c r="C30" s="12" t="s">
        <v>19</v>
      </c>
      <c r="D30" s="148"/>
      <c r="E30" s="9" t="str">
        <f>IF(C30="","",IF(C30="Yes","You are required to complete the questions in the Consulting section. All questions AFTER the Consulting section are OPTIONAL.","Responses to the questions in the Consulting section are optional."))</f>
        <v>Responses to the questions in the Consulting section are optional.</v>
      </c>
    </row>
    <row r="31" spans="1:5" ht="36" customHeight="1" x14ac:dyDescent="0.15">
      <c r="A31" s="304" t="s">
        <v>17</v>
      </c>
      <c r="B31" s="304"/>
      <c r="C31" s="25" t="s">
        <v>12</v>
      </c>
      <c r="D31" s="25" t="s">
        <v>13</v>
      </c>
      <c r="E31" s="7" t="s">
        <v>14</v>
      </c>
    </row>
    <row r="32" spans="1:5" ht="97.25" customHeight="1" x14ac:dyDescent="0.15">
      <c r="A32" s="15" t="s">
        <v>170</v>
      </c>
      <c r="B32" s="114" t="s">
        <v>3058</v>
      </c>
      <c r="C32" s="12" t="s">
        <v>19</v>
      </c>
      <c r="D32" s="277" t="s">
        <v>3070</v>
      </c>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Describe any plans to undergo a SSAE 16 audit.</v>
      </c>
    </row>
    <row r="33" spans="1:5" ht="48" customHeight="1" x14ac:dyDescent="0.15">
      <c r="A33" s="15" t="s">
        <v>171</v>
      </c>
      <c r="B33" s="114" t="s">
        <v>128</v>
      </c>
      <c r="C33" s="280" t="s">
        <v>19</v>
      </c>
      <c r="D33" s="278" t="s">
        <v>3071</v>
      </c>
      <c r="E33" s="10" t="str">
        <f>IF(C33="","",IF(C33="Yes","Please include a copy with your response and include a URL for the published assessment.","Describe any plans to complete the CSA self assessment or CAIQ."))</f>
        <v>Describe any plans to complete the CSA self assessment or CAIQ.</v>
      </c>
    </row>
    <row r="34" spans="1:5" ht="48" customHeight="1" x14ac:dyDescent="0.15">
      <c r="A34" s="15" t="s">
        <v>172</v>
      </c>
      <c r="B34" s="150" t="s">
        <v>18</v>
      </c>
      <c r="C34" s="280" t="s">
        <v>19</v>
      </c>
      <c r="D34" s="278" t="s">
        <v>3072</v>
      </c>
      <c r="E34" s="9" t="str">
        <f>IF(C34="","",IF(C34="Yes","Provide date of certification, any supporting documentation, and a URL for the certification.","Describe any plans to obtain CSA STAR certification."))</f>
        <v>Describe any plans to obtain CSA STAR certification.</v>
      </c>
    </row>
    <row r="35" spans="1:5" ht="64.25" customHeight="1" x14ac:dyDescent="0.15">
      <c r="A35" s="15" t="s">
        <v>173</v>
      </c>
      <c r="B35" s="114" t="s">
        <v>2629</v>
      </c>
      <c r="C35" s="280" t="s">
        <v>16</v>
      </c>
      <c r="D35" s="279" t="s">
        <v>3073</v>
      </c>
      <c r="E35" s="9" t="str">
        <f>IF(C35="","",IF(C35="Yes","Provide documentation on how your organization conforms to each framework and indicate current certification levels, where appropriate.","Describe any plans to conform to an industry standard security framework."))</f>
        <v>Provide documentation on how your organization conforms to each framework and indicate current certification levels, where appropriate.</v>
      </c>
    </row>
    <row r="36" spans="1:5" ht="64.25" customHeight="1" x14ac:dyDescent="0.15">
      <c r="A36" s="15" t="s">
        <v>174</v>
      </c>
      <c r="B36" s="150" t="s">
        <v>890</v>
      </c>
      <c r="C36" s="280" t="s">
        <v>16</v>
      </c>
      <c r="D36" s="279" t="s">
        <v>3074</v>
      </c>
      <c r="E36" s="9" t="str">
        <f>IF(C36="","",IF(C36="Yes","Indicate level, agency issuing ATO, and necessary details on ATO. If using FEDRamp, please indicate the supporting details.","Describe any plans to become FISMA compliant."))</f>
        <v>Indicate level, agency issuing ATO, and necessary details on ATO. If using FEDRamp, please indicate the supporting details.</v>
      </c>
    </row>
    <row r="37" spans="1:5" ht="48" customHeight="1" x14ac:dyDescent="0.15">
      <c r="A37" s="15" t="s">
        <v>175</v>
      </c>
      <c r="B37" s="30" t="s">
        <v>469</v>
      </c>
      <c r="C37" s="280" t="s">
        <v>16</v>
      </c>
      <c r="D37" s="279" t="s">
        <v>3075</v>
      </c>
      <c r="E37" s="9" t="str">
        <f>IF(C37="","",IF(C37="Yes","Provide your data privacy document (or a valid link to it) upon submission.","Describe your plans to provide a data privacy document."))</f>
        <v>Provide your data privacy document (or a valid link to it) upon submission.</v>
      </c>
    </row>
    <row r="38" spans="1:5" ht="36" customHeight="1" x14ac:dyDescent="0.15">
      <c r="A38" s="304" t="s">
        <v>151</v>
      </c>
      <c r="B38" s="304"/>
      <c r="C38" s="25" t="s">
        <v>12</v>
      </c>
      <c r="D38" s="25" t="s">
        <v>13</v>
      </c>
      <c r="E38" s="7" t="s">
        <v>14</v>
      </c>
    </row>
    <row r="39" spans="1:5" ht="54" customHeight="1" x14ac:dyDescent="0.15">
      <c r="A39" s="15" t="s">
        <v>176</v>
      </c>
      <c r="B39" s="114" t="s">
        <v>152</v>
      </c>
      <c r="C39" s="313" t="s">
        <v>3076</v>
      </c>
      <c r="D39" s="314"/>
      <c r="E39" s="9" t="s">
        <v>2552</v>
      </c>
    </row>
    <row r="40" spans="1:5" ht="54" customHeight="1" x14ac:dyDescent="0.15">
      <c r="A40" s="15" t="s">
        <v>177</v>
      </c>
      <c r="B40" s="114" t="s">
        <v>153</v>
      </c>
      <c r="C40" s="313" t="s">
        <v>3077</v>
      </c>
      <c r="D40" s="314"/>
      <c r="E40" s="9" t="s">
        <v>2553</v>
      </c>
    </row>
    <row r="41" spans="1:5" ht="255" x14ac:dyDescent="0.15">
      <c r="A41" s="15" t="s">
        <v>178</v>
      </c>
      <c r="B41" s="114" t="s">
        <v>891</v>
      </c>
      <c r="C41" s="12" t="s">
        <v>16</v>
      </c>
      <c r="D41" s="115" t="s">
        <v>3194</v>
      </c>
      <c r="E41" s="9" t="str">
        <f>IF(C41="","",IF(C41="Yes","Provide a list of Higher Ed references, with contact information.","State your primary industry."))</f>
        <v>Provide a list of Higher Ed references, with contact information.</v>
      </c>
    </row>
    <row r="42" spans="1:5" ht="51" customHeight="1" x14ac:dyDescent="0.15">
      <c r="A42" s="15" t="s">
        <v>179</v>
      </c>
      <c r="B42" s="114" t="s">
        <v>892</v>
      </c>
      <c r="C42" s="12" t="s">
        <v>19</v>
      </c>
      <c r="D42" s="13"/>
      <c r="E42" s="9" t="str">
        <f>IF(C42="","",IF(C42="Yes","Provide a detailed summary of the breach.",""))</f>
        <v/>
      </c>
    </row>
    <row r="43" spans="1:5" ht="75" x14ac:dyDescent="0.15">
      <c r="A43" s="15" t="s">
        <v>180</v>
      </c>
      <c r="B43" s="114" t="s">
        <v>893</v>
      </c>
      <c r="C43" s="12" t="s">
        <v>19</v>
      </c>
      <c r="D43" s="115" t="s">
        <v>3191</v>
      </c>
      <c r="E43" s="9" t="str">
        <f>IF(C43="","",IF(C43="Yes","Decribe your Information Security Office, including size, talents, resources, etc.","Describe any plans to create an Information Security Office for your organization."))</f>
        <v>Describe any plans to create an Information Security Office for your organization.</v>
      </c>
    </row>
    <row r="44" spans="1:5" ht="90" x14ac:dyDescent="0.15">
      <c r="A44" s="15" t="s">
        <v>181</v>
      </c>
      <c r="B44" s="114" t="s">
        <v>2551</v>
      </c>
      <c r="C44" s="12" t="s">
        <v>16</v>
      </c>
      <c r="D44" s="115" t="s">
        <v>3078</v>
      </c>
      <c r="E44" s="9" t="str">
        <f>IF(C44="","",IF(C44="Yes","Describe the structure and size of your Software and System Development teams. (e.g. Customer Support, Implementation, Product Management, etc.)","Describe any plans to create an Information Security Office for your organization."))</f>
        <v>Describe the structure and size of your Software and System Development teams. (e.g. Customer Support, Implementation, Product Management, etc.)</v>
      </c>
    </row>
    <row r="45" spans="1:5" ht="135" customHeight="1" x14ac:dyDescent="0.15">
      <c r="A45" s="15" t="s">
        <v>429</v>
      </c>
      <c r="B45" s="114" t="s">
        <v>894</v>
      </c>
      <c r="C45" s="315" t="s">
        <v>3079</v>
      </c>
      <c r="D45" s="316"/>
      <c r="E45" s="9" t="s">
        <v>2554</v>
      </c>
    </row>
    <row r="46" spans="1:5" ht="36" customHeight="1" x14ac:dyDescent="0.15">
      <c r="A46" s="304" t="str">
        <f>IF($C$26="No","Third Parties - Optional based on QUALIFIER response.","Third Parties")</f>
        <v>Third Parties</v>
      </c>
      <c r="B46" s="304"/>
      <c r="C46" s="25" t="s">
        <v>12</v>
      </c>
      <c r="D46" s="25" t="s">
        <v>13</v>
      </c>
      <c r="E46" s="7" t="s">
        <v>14</v>
      </c>
    </row>
    <row r="47" spans="1:5" ht="96" customHeight="1" x14ac:dyDescent="0.15">
      <c r="A47" s="15" t="s">
        <v>182</v>
      </c>
      <c r="B47" s="30" t="s">
        <v>129</v>
      </c>
      <c r="C47" s="301" t="s">
        <v>3080</v>
      </c>
      <c r="D47" s="301"/>
      <c r="E47" s="9" t="s">
        <v>2619</v>
      </c>
    </row>
    <row r="48" spans="1:5" ht="188" customHeight="1" x14ac:dyDescent="0.15">
      <c r="A48" s="15" t="s">
        <v>183</v>
      </c>
      <c r="B48" s="30" t="s">
        <v>515</v>
      </c>
      <c r="C48" s="301" t="s">
        <v>3081</v>
      </c>
      <c r="D48" s="301"/>
      <c r="E48" s="9" t="s">
        <v>2620</v>
      </c>
    </row>
    <row r="49" spans="1:256" ht="80" customHeight="1" x14ac:dyDescent="0.15">
      <c r="A49" s="15" t="s">
        <v>184</v>
      </c>
      <c r="B49" s="30" t="s">
        <v>20</v>
      </c>
      <c r="C49" s="301" t="s">
        <v>3082</v>
      </c>
      <c r="D49" s="301"/>
      <c r="E49" s="9" t="s">
        <v>2621</v>
      </c>
    </row>
    <row r="50" spans="1:256" ht="80" customHeight="1" x14ac:dyDescent="0.15">
      <c r="A50" s="15" t="s">
        <v>428</v>
      </c>
      <c r="B50" s="30" t="s">
        <v>440</v>
      </c>
      <c r="C50" s="301" t="s">
        <v>3083</v>
      </c>
      <c r="D50" s="301"/>
      <c r="E50" s="9" t="s">
        <v>2622</v>
      </c>
    </row>
    <row r="51" spans="1:256" ht="36" customHeight="1" x14ac:dyDescent="0.15">
      <c r="A51" s="304" t="str">
        <f>IF($C$30="","Consulting",IF($C$30="Yes","Consulting - All questions after this section are OPTIONAL.","Consulting - Optional based on QUALIFIER response."))</f>
        <v>Consulting - Optional based on QUALIFIER response.</v>
      </c>
      <c r="B51" s="304"/>
      <c r="C51" s="25" t="s">
        <v>12</v>
      </c>
      <c r="D51" s="25" t="s">
        <v>13</v>
      </c>
      <c r="E51" s="7" t="s">
        <v>14</v>
      </c>
    </row>
    <row r="52" spans="1:256" ht="48" customHeight="1" x14ac:dyDescent="0.15">
      <c r="A52" s="15" t="s">
        <v>185</v>
      </c>
      <c r="B52" s="30" t="s">
        <v>900</v>
      </c>
      <c r="C52" s="12"/>
      <c r="D52" s="29"/>
      <c r="E52" s="10" t="str">
        <f>IF(C52="","",IF(C52="Yes","Describe how physical access will be managed.",""))</f>
        <v/>
      </c>
    </row>
    <row r="53" spans="1:256" ht="63" customHeight="1" x14ac:dyDescent="0.15">
      <c r="A53" s="15" t="s">
        <v>186</v>
      </c>
      <c r="B53" s="30" t="s">
        <v>534</v>
      </c>
      <c r="C53" s="12"/>
      <c r="D53" s="29"/>
      <c r="E53" s="10" t="str">
        <f>IF(C53="","",IF(C53="Yes","Describe how institution's resources will be protected during this engagement.",""))</f>
        <v/>
      </c>
    </row>
    <row r="54" spans="1:256" ht="63" customHeight="1" x14ac:dyDescent="0.15">
      <c r="A54" s="15" t="s">
        <v>187</v>
      </c>
      <c r="B54" s="30" t="s">
        <v>535</v>
      </c>
      <c r="C54" s="12"/>
      <c r="D54" s="29"/>
      <c r="E54" s="10" t="str">
        <f>IF(C54="","",IF(C54="Yes","Summarize the need for physical access and what steps/agreements will be implemented to ensure physical security.",""))</f>
        <v/>
      </c>
    </row>
    <row r="55" spans="1:256" ht="48" customHeight="1" x14ac:dyDescent="0.15">
      <c r="A55" s="15" t="s">
        <v>188</v>
      </c>
      <c r="B55" s="30" t="s">
        <v>536</v>
      </c>
      <c r="C55" s="12"/>
      <c r="D55" s="13"/>
      <c r="E55" s="10" t="str">
        <f>IF(C55="","",IF(C55="Yes","Summarize the need for an account within the Institution's domain.",""))</f>
        <v/>
      </c>
    </row>
    <row r="56" spans="1:256" ht="48" customHeight="1" x14ac:dyDescent="0.15">
      <c r="A56" s="15" t="s">
        <v>189</v>
      </c>
      <c r="B56" s="30" t="s">
        <v>467</v>
      </c>
      <c r="C56" s="12"/>
      <c r="D56" s="13"/>
      <c r="E56" s="10" t="str">
        <f>IF(C56="","",IF(C56="Yes","State the name of  the training received and the most currently training date for each training.",""))</f>
        <v/>
      </c>
    </row>
    <row r="57" spans="1:256" ht="48" customHeight="1" x14ac:dyDescent="0.15">
      <c r="A57" s="15" t="s">
        <v>190</v>
      </c>
      <c r="B57" s="30" t="s">
        <v>470</v>
      </c>
      <c r="C57" s="12"/>
      <c r="D57" s="13"/>
      <c r="E57" s="10" t="str">
        <f>IF(C57="","",IF(C57="Yes","State how long the data will remain in their possession and state how the data will be protected.",""))</f>
        <v/>
      </c>
    </row>
    <row r="58" spans="1:256" s="1" customFormat="1" ht="48" customHeight="1" x14ac:dyDescent="0.2">
      <c r="A58" s="15" t="s">
        <v>191</v>
      </c>
      <c r="B58" s="30" t="s">
        <v>471</v>
      </c>
      <c r="C58" s="174"/>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15">
      <c r="A59" s="15" t="s">
        <v>192</v>
      </c>
      <c r="B59" s="30" t="s">
        <v>537</v>
      </c>
      <c r="C59" s="12"/>
      <c r="D59" s="13"/>
      <c r="E59" s="10" t="str">
        <f>IF(C59="","",IF(C59="Yes","Describe the tools and technical controls implemented to secure remote access.",""))</f>
        <v/>
      </c>
    </row>
    <row r="60" spans="1:256" s="1" customFormat="1" ht="48" customHeight="1" x14ac:dyDescent="0.2">
      <c r="A60" s="15" t="s">
        <v>193</v>
      </c>
      <c r="B60" s="30" t="s">
        <v>21</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15">
      <c r="A61" s="304" t="str">
        <f>IF($C$30="","Application/Service Security",IF($C$30="Yes","App/Service Security - Optional based on QUALIFIER response.","Application/Service Security"))</f>
        <v>Application/Service Security</v>
      </c>
      <c r="B61" s="304"/>
      <c r="C61" s="25" t="s">
        <v>12</v>
      </c>
      <c r="D61" s="25" t="s">
        <v>13</v>
      </c>
      <c r="E61" s="7" t="s">
        <v>14</v>
      </c>
    </row>
    <row r="62" spans="1:256" ht="105" x14ac:dyDescent="0.15">
      <c r="A62" s="15" t="s">
        <v>194</v>
      </c>
      <c r="B62" s="69" t="s">
        <v>895</v>
      </c>
      <c r="C62" s="12" t="s">
        <v>16</v>
      </c>
      <c r="D62" s="281" t="s">
        <v>3084</v>
      </c>
      <c r="E62" s="9" t="str">
        <f>IF(C62="","",IF(C62="Yes","Describe any infrastructure dependencies.","Describe any limitations that prevent virtualization."))</f>
        <v>Describe any infrastructure dependencies.</v>
      </c>
    </row>
    <row r="63" spans="1:256" ht="48" customHeight="1" x14ac:dyDescent="0.15">
      <c r="A63" s="15" t="s">
        <v>195</v>
      </c>
      <c r="B63" s="69" t="s">
        <v>896</v>
      </c>
      <c r="C63" s="12" t="s">
        <v>16</v>
      </c>
      <c r="D63" s="281" t="s">
        <v>3085</v>
      </c>
      <c r="E63" s="9" t="str">
        <f>IF(C63="","",IF(C63="Yes","Describe the utilized technology.","Describe any plans to virtualize your environment hosting Institution data."))</f>
        <v>Describe the utilized technology.</v>
      </c>
    </row>
    <row r="64" spans="1:256" ht="90" x14ac:dyDescent="0.15">
      <c r="A64" s="15" t="s">
        <v>538</v>
      </c>
      <c r="B64" s="69" t="s">
        <v>897</v>
      </c>
      <c r="C64" s="12" t="s">
        <v>16</v>
      </c>
      <c r="D64" s="281" t="s">
        <v>3086</v>
      </c>
      <c r="E64" s="9" t="str">
        <f>IF(C64="","",IF(C64="Yes","If available, submit documentation and/or web resources.","Provide details that prevent this capability."))</f>
        <v>If available, submit documentation and/or web resources.</v>
      </c>
    </row>
    <row r="65" spans="1:256" ht="80" customHeight="1" x14ac:dyDescent="0.15">
      <c r="A65" s="15" t="s">
        <v>196</v>
      </c>
      <c r="B65" s="69" t="s">
        <v>898</v>
      </c>
      <c r="C65" s="12" t="s">
        <v>16</v>
      </c>
      <c r="D65" s="135" t="s">
        <v>3192</v>
      </c>
      <c r="E65" s="9" t="str">
        <f>IF(C65="","",IF(C65="Yes","Provide a reference to the requested documents or provide them when submitting this fully-populated HECVAT.","State any plans to provide system and/or application architecture diagrams."))</f>
        <v>Provide a reference to the requested documents or provide them when submitting this fully-populated HECVAT.</v>
      </c>
    </row>
    <row r="66" spans="1:256" ht="63" customHeight="1" x14ac:dyDescent="0.15">
      <c r="A66" s="15" t="s">
        <v>197</v>
      </c>
      <c r="B66" s="69" t="s">
        <v>30</v>
      </c>
      <c r="C66" s="12" t="s">
        <v>16</v>
      </c>
      <c r="D66" s="135"/>
      <c r="E66" s="9" t="str">
        <f>IF(C66="","",IF(C66="Yes","Provide a reference to documentation of your data input validation and error messaging capabilities.","State plans to implement data input validation and error messaging across all components of your system."))</f>
        <v>Provide a reference to documentation of your data input validation and error messaging capabilities.</v>
      </c>
    </row>
    <row r="67" spans="1:256" ht="48" customHeight="1" x14ac:dyDescent="0.15">
      <c r="A67" s="15" t="s">
        <v>198</v>
      </c>
      <c r="B67" s="69" t="s">
        <v>899</v>
      </c>
      <c r="C67" s="12" t="s">
        <v>19</v>
      </c>
      <c r="D67" s="31"/>
      <c r="E67" s="9" t="str">
        <f>IF(C67="","",IF(C67="Yes","Describe your single-tenant strategy.",""))</f>
        <v/>
      </c>
    </row>
    <row r="68" spans="1:256" s="1" customFormat="1" ht="80" customHeight="1" x14ac:dyDescent="0.2">
      <c r="A68" s="15" t="s">
        <v>199</v>
      </c>
      <c r="B68" s="69" t="s">
        <v>559</v>
      </c>
      <c r="C68" s="301" t="s">
        <v>3193</v>
      </c>
      <c r="D68" s="301"/>
      <c r="E68" s="11" t="s">
        <v>2072</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0" customHeight="1" x14ac:dyDescent="0.15">
      <c r="A69" s="15" t="s">
        <v>200</v>
      </c>
      <c r="B69" s="30" t="s">
        <v>516</v>
      </c>
      <c r="C69" s="12" t="s">
        <v>19</v>
      </c>
      <c r="D69" s="13"/>
      <c r="E69" s="9" t="str">
        <f>IF(C69="","",IF(C69="Yes","Describe the conditions of this breach and how was the investigation and response was managed in conjunction with the customer.",""))</f>
        <v/>
      </c>
    </row>
    <row r="70" spans="1:256" ht="64.25" customHeight="1" x14ac:dyDescent="0.15">
      <c r="A70" s="15" t="s">
        <v>201</v>
      </c>
      <c r="B70" s="69" t="s">
        <v>441</v>
      </c>
      <c r="C70" s="301" t="s">
        <v>3087</v>
      </c>
      <c r="D70" s="301"/>
      <c r="E70" s="11" t="s">
        <v>2073</v>
      </c>
    </row>
    <row r="71" spans="1:256" ht="64.25" customHeight="1" x14ac:dyDescent="0.15">
      <c r="A71" s="15" t="s">
        <v>202</v>
      </c>
      <c r="B71" s="69" t="s">
        <v>442</v>
      </c>
      <c r="C71" s="301" t="s">
        <v>3092</v>
      </c>
      <c r="D71" s="301"/>
      <c r="E71" s="9" t="s">
        <v>2556</v>
      </c>
    </row>
    <row r="72" spans="1:256" ht="60" x14ac:dyDescent="0.15">
      <c r="A72" s="15" t="s">
        <v>203</v>
      </c>
      <c r="B72" s="69" t="s">
        <v>501</v>
      </c>
      <c r="C72" s="12" t="s">
        <v>16</v>
      </c>
      <c r="D72" s="13" t="s">
        <v>3088</v>
      </c>
      <c r="E72" s="9" t="str">
        <f>IF(C72="","",IF(C72="Yes","Provide a brief description.","Provide a detailed description of the database and front-end system relationship."))</f>
        <v>Provide a brief description.</v>
      </c>
    </row>
    <row r="73" spans="1:256" ht="65" customHeight="1" x14ac:dyDescent="0.15">
      <c r="A73" s="15" t="s">
        <v>204</v>
      </c>
      <c r="B73" s="69" t="s">
        <v>443</v>
      </c>
      <c r="C73" s="301" t="s">
        <v>3089</v>
      </c>
      <c r="D73" s="301"/>
      <c r="E73" s="9" t="s">
        <v>2991</v>
      </c>
    </row>
    <row r="74" spans="1:256" ht="65" customHeight="1" x14ac:dyDescent="0.15">
      <c r="A74" s="15" t="s">
        <v>205</v>
      </c>
      <c r="B74" s="69" t="s">
        <v>2074</v>
      </c>
      <c r="C74" s="12" t="s">
        <v>16</v>
      </c>
      <c r="D74" s="13" t="s">
        <v>3091</v>
      </c>
      <c r="E74" s="9" t="str">
        <f>IF(C74="","",IF(C74="Yes","Describe all OS and web-browser combonations that are not currently supported.",""))</f>
        <v>Describe all OS and web-browser combonations that are not currently supported.</v>
      </c>
    </row>
    <row r="75" spans="1:256" ht="63" customHeight="1" x14ac:dyDescent="0.15">
      <c r="A75" s="15" t="s">
        <v>206</v>
      </c>
      <c r="B75" s="69" t="s">
        <v>112</v>
      </c>
      <c r="C75" s="12" t="s">
        <v>16</v>
      </c>
      <c r="D75" s="13" t="s">
        <v>3090</v>
      </c>
      <c r="E75" s="9" t="str">
        <f>IF(C75="","",IF(C75="Yes","Provide a detailed description of system capabilities and how location data is secured.",""))</f>
        <v>Provide a detailed description of system capabilities and how location data is secured.</v>
      </c>
    </row>
    <row r="76" spans="1:256" ht="84" customHeight="1" x14ac:dyDescent="0.15">
      <c r="A76" s="15" t="s">
        <v>539</v>
      </c>
      <c r="B76" s="69" t="s">
        <v>444</v>
      </c>
      <c r="C76" s="301" t="s">
        <v>3093</v>
      </c>
      <c r="D76" s="301"/>
      <c r="E76" s="9" t="s">
        <v>2557</v>
      </c>
    </row>
    <row r="77" spans="1:256" ht="65" customHeight="1" x14ac:dyDescent="0.15">
      <c r="A77" s="15" t="s">
        <v>207</v>
      </c>
      <c r="B77" s="69" t="s">
        <v>502</v>
      </c>
      <c r="C77" s="301" t="s">
        <v>3093</v>
      </c>
      <c r="D77" s="301"/>
      <c r="E77" s="9" t="s">
        <v>2558</v>
      </c>
    </row>
    <row r="78" spans="1:256" ht="65" customHeight="1" x14ac:dyDescent="0.15">
      <c r="A78" s="15" t="s">
        <v>208</v>
      </c>
      <c r="B78" s="69" t="s">
        <v>2994</v>
      </c>
      <c r="C78" s="301" t="s">
        <v>3094</v>
      </c>
      <c r="D78" s="301"/>
      <c r="E78" s="9" t="s">
        <v>2559</v>
      </c>
    </row>
    <row r="79" spans="1:256" ht="36" customHeight="1" x14ac:dyDescent="0.15">
      <c r="A79" s="304" t="str">
        <f>IF($C$30="","Authentication, Authorization, and Accounting",IF($C$30="Yes","AAA - Optional based on QUALIFIER response.","Authentication, Authorization, and Accounting"))</f>
        <v>Authentication, Authorization, and Accounting</v>
      </c>
      <c r="B79" s="304"/>
      <c r="C79" s="25" t="s">
        <v>12</v>
      </c>
      <c r="D79" s="25" t="s">
        <v>13</v>
      </c>
      <c r="E79" s="7" t="s">
        <v>14</v>
      </c>
    </row>
    <row r="80" spans="1:256" ht="48" customHeight="1" x14ac:dyDescent="0.15">
      <c r="A80" s="15" t="s">
        <v>210</v>
      </c>
      <c r="B80" s="30" t="s">
        <v>33</v>
      </c>
      <c r="C80" s="12" t="s">
        <v>19</v>
      </c>
      <c r="D80" s="13" t="s">
        <v>3101</v>
      </c>
      <c r="E80" s="10" t="str">
        <f>IF(C80="","",IF(C80="Yes","Describe how aging requirements are implemented in the product.","Describe plans to support password/passphrase aging requirements."))</f>
        <v>Describe plans to support password/passphrase aging requirements.</v>
      </c>
    </row>
    <row r="81" spans="1:5" ht="48" customHeight="1" x14ac:dyDescent="0.15">
      <c r="A81" s="15" t="s">
        <v>211</v>
      </c>
      <c r="B81" s="30" t="s">
        <v>517</v>
      </c>
      <c r="C81" s="12" t="s">
        <v>19</v>
      </c>
      <c r="D81" s="13" t="s">
        <v>3101</v>
      </c>
      <c r="E81" s="10" t="str">
        <f>IF(C81="","",IF(C81="Yes","Describe how password/passphrase complexity requirements are implemented in the product.","Describe plans to support password/passphrase complexity requirements."))</f>
        <v>Describe plans to support password/passphrase complexity requirements.</v>
      </c>
    </row>
    <row r="82" spans="1:5" ht="48" customHeight="1" x14ac:dyDescent="0.15">
      <c r="A82" s="15" t="s">
        <v>212</v>
      </c>
      <c r="B82" s="30" t="s">
        <v>2065</v>
      </c>
      <c r="C82" s="12" t="s">
        <v>19</v>
      </c>
      <c r="D82" s="13" t="s">
        <v>3101</v>
      </c>
      <c r="E82" s="10" t="str">
        <f>IF(C82="","",IF(C82="Yes","Describe these limitations and/or restrictions and state what lengths and complexities are supported.",""))</f>
        <v/>
      </c>
    </row>
    <row r="83" spans="1:5" ht="65" customHeight="1" x14ac:dyDescent="0.15">
      <c r="A83" s="15" t="s">
        <v>213</v>
      </c>
      <c r="B83" s="30" t="s">
        <v>2066</v>
      </c>
      <c r="C83" s="12" t="s">
        <v>19</v>
      </c>
      <c r="D83" s="13" t="s">
        <v>3101</v>
      </c>
      <c r="E83" s="10" t="str">
        <f>IF(C83="","",IF(C83="Yes","Describe your documented password/passphrase reset procedures that are currently implemented in the system and/or customer support.","Describe your plans to document system password/passphrase reset procedures."))</f>
        <v>Describe your plans to document system password/passphrase reset procedures.</v>
      </c>
    </row>
    <row r="84" spans="1:5" ht="47" customHeight="1" x14ac:dyDescent="0.15">
      <c r="A84" s="15" t="s">
        <v>214</v>
      </c>
      <c r="B84" s="30" t="s">
        <v>2650</v>
      </c>
      <c r="C84" s="12" t="s">
        <v>19</v>
      </c>
      <c r="D84" s="191" t="s">
        <v>3095</v>
      </c>
      <c r="E84" s="10" t="str">
        <f>IF(C84="","",IF(C84="Yes","Describe or provide a reference to the supported types of authentication.","Describe plans to support authentication in your web-based interface."))</f>
        <v>Describe plans to support authentication in your web-based interface.</v>
      </c>
    </row>
    <row r="85" spans="1:5" ht="48" customHeight="1" x14ac:dyDescent="0.15">
      <c r="A85" s="15" t="s">
        <v>215</v>
      </c>
      <c r="B85" s="30" t="s">
        <v>2560</v>
      </c>
      <c r="C85" s="12" t="s">
        <v>19</v>
      </c>
      <c r="D85" s="13"/>
      <c r="E85" s="10" t="str">
        <f>IF(C85="","",IF(C85="Yes","Provide a detailed description of passwords/passphrases hard-coded into your systems or products.",""))</f>
        <v/>
      </c>
    </row>
    <row r="86" spans="1:5" ht="48" customHeight="1" x14ac:dyDescent="0.15">
      <c r="A86" s="15" t="s">
        <v>216</v>
      </c>
      <c r="B86" s="30" t="s">
        <v>34</v>
      </c>
      <c r="C86" s="12" t="s">
        <v>19</v>
      </c>
      <c r="D86" s="103"/>
      <c r="E86" s="10" t="str">
        <f>IF(C86="","",IF(C86="Yes","Provide a detailed description stating why user account passwords/passphrases are visible by administrators.",""))</f>
        <v/>
      </c>
    </row>
    <row r="87" spans="1:5" ht="48" customHeight="1" x14ac:dyDescent="0.15">
      <c r="A87" s="15" t="s">
        <v>217</v>
      </c>
      <c r="B87" s="30" t="s">
        <v>35</v>
      </c>
      <c r="C87" s="12" t="s">
        <v>19</v>
      </c>
      <c r="D87" s="13" t="s">
        <v>3101</v>
      </c>
      <c r="E87" s="10" t="str">
        <f>IF(C87="","",IF(C87="Yes","Describe or provide a reference to the algorithm/strategy that is used to encrypt stored passwords/passphrases.","Provide a detailed description stating why user account passwords/passphrases are not encrypted in storage."))</f>
        <v>Provide a detailed description stating why user account passwords/passphrases are not encrypted in storage.</v>
      </c>
    </row>
    <row r="88" spans="1:5" ht="48" customHeight="1" x14ac:dyDescent="0.15">
      <c r="A88" s="68" t="s">
        <v>218</v>
      </c>
      <c r="B88" s="30" t="s">
        <v>131</v>
      </c>
      <c r="C88" s="12" t="s">
        <v>16</v>
      </c>
      <c r="D88" s="13" t="s">
        <v>3142</v>
      </c>
      <c r="E88" s="10" t="str">
        <f>IF(C88="","",IF(C88="Yes","List all supported multi-factor authentication methods, technologies, and/or products and provide a brief summary of each.","Describe any plans to support multi-factor authentication in your application."))</f>
        <v>List all supported multi-factor authentication methods, technologies, and/or products and provide a brief summary of each.</v>
      </c>
    </row>
    <row r="89" spans="1:5" ht="53" customHeight="1" x14ac:dyDescent="0.15">
      <c r="A89" s="68" t="s">
        <v>219</v>
      </c>
      <c r="B89" s="30" t="s">
        <v>901</v>
      </c>
      <c r="C89" s="12" t="s">
        <v>19</v>
      </c>
      <c r="D89" s="276" t="s">
        <v>3095</v>
      </c>
      <c r="E89" s="10" t="str">
        <f>IF(C89="","",IF(C89="Yes","Provide a brief description of supported authentication and authorization systems.","Describe any plans to support integration with other authentication and authorization systems."))</f>
        <v>Describe any plans to support integration with other authentication and authorization systems.</v>
      </c>
    </row>
    <row r="90" spans="1:5" ht="47" customHeight="1" x14ac:dyDescent="0.15">
      <c r="A90" s="68" t="s">
        <v>220</v>
      </c>
      <c r="B90" s="30" t="s">
        <v>518</v>
      </c>
      <c r="C90" s="174"/>
      <c r="D90" s="13"/>
      <c r="E90" s="10" t="str">
        <f>IF(C90="","",IF(C90="Yes","Summarize the utilized technology and provide references to how it is implemented in the product/system.",""))</f>
        <v/>
      </c>
    </row>
    <row r="91" spans="1:5" ht="54" customHeight="1" x14ac:dyDescent="0.15">
      <c r="A91" s="68" t="s">
        <v>221</v>
      </c>
      <c r="B91" s="30" t="s">
        <v>130</v>
      </c>
      <c r="C91" s="12" t="s">
        <v>19</v>
      </c>
      <c r="D91" s="13"/>
      <c r="E91" s="10" t="str">
        <f>IF(C91="","",IF(C91="Yes","Describe all authentication services supported by the system.","Describe any plans to support external authentication services in place of local authentication."))</f>
        <v>Describe any plans to support external authentication services in place of local authentication.</v>
      </c>
    </row>
    <row r="92" spans="1:5" ht="54" customHeight="1" x14ac:dyDescent="0.15">
      <c r="A92" s="68" t="s">
        <v>222</v>
      </c>
      <c r="B92" s="30" t="s">
        <v>93</v>
      </c>
      <c r="C92" s="174"/>
      <c r="D92" s="13"/>
      <c r="E92" s="10" t="str">
        <f>IF(C92="","",IF(C92="Yes","Provide a detailed description of your mixed authentication mode practices.","Describe any plans to use mixed authentication modes."))</f>
        <v/>
      </c>
    </row>
    <row r="93" spans="1:5" ht="47" customHeight="1" x14ac:dyDescent="0.15">
      <c r="A93" s="68" t="s">
        <v>223</v>
      </c>
      <c r="B93" s="30" t="s">
        <v>519</v>
      </c>
      <c r="C93" s="174"/>
      <c r="D93" s="13"/>
      <c r="E93" s="10" t="str">
        <f>IF(C93="","",IF(C93="Yes","Summarize the utilized technology and provide references to how it is implemented in the product/system.",""))</f>
        <v/>
      </c>
    </row>
    <row r="94" spans="1:5" ht="48" customHeight="1" x14ac:dyDescent="0.15">
      <c r="A94" s="68" t="s">
        <v>224</v>
      </c>
      <c r="B94" s="30" t="s">
        <v>540</v>
      </c>
      <c r="C94" s="12" t="s">
        <v>16</v>
      </c>
      <c r="D94" s="13" t="s">
        <v>3096</v>
      </c>
      <c r="E94" s="10" t="str">
        <f>IF(C94="","",IF(C94="Yes","Ensure that all elements of AAAI-15 are evaluated for your response. Provide a description of logging capabilities.","Describe any plans to enable audit logs for these data elements."))</f>
        <v>Ensure that all elements of AAAI-15 are evaluated for your response. Provide a description of logging capabilities.</v>
      </c>
    </row>
    <row r="95" spans="1:5" ht="96" customHeight="1" x14ac:dyDescent="0.15">
      <c r="A95" s="68" t="s">
        <v>225</v>
      </c>
      <c r="B95" s="30" t="s">
        <v>2067</v>
      </c>
      <c r="C95" s="301" t="s">
        <v>3097</v>
      </c>
      <c r="D95" s="301"/>
      <c r="E95" s="10" t="s">
        <v>2561</v>
      </c>
    </row>
    <row r="96" spans="1:5" ht="84" customHeight="1" x14ac:dyDescent="0.15">
      <c r="A96" s="68" t="s">
        <v>226</v>
      </c>
      <c r="B96" s="30" t="s">
        <v>445</v>
      </c>
      <c r="C96" s="317" t="s">
        <v>3098</v>
      </c>
      <c r="D96" s="318"/>
      <c r="E96" s="10" t="s">
        <v>2562</v>
      </c>
    </row>
    <row r="97" spans="1:5" ht="36" customHeight="1" x14ac:dyDescent="0.15">
      <c r="A97" s="304" t="str">
        <f>IF(OR($C$27="No",$C$30="Yes"),"BCP - Respond to as many questions below as possible.","Business Continuity Plan")</f>
        <v>Business Continuity Plan</v>
      </c>
      <c r="B97" s="304"/>
      <c r="C97" s="25" t="s">
        <v>12</v>
      </c>
      <c r="D97" s="25" t="s">
        <v>13</v>
      </c>
      <c r="E97" s="7" t="s">
        <v>14</v>
      </c>
    </row>
    <row r="98" spans="1:5" ht="48" customHeight="1" x14ac:dyDescent="0.15">
      <c r="A98" s="15" t="s">
        <v>209</v>
      </c>
      <c r="B98" s="30" t="s">
        <v>541</v>
      </c>
      <c r="C98" s="301" t="s">
        <v>3102</v>
      </c>
      <c r="D98" s="301"/>
      <c r="E98" s="10" t="s">
        <v>2564</v>
      </c>
    </row>
    <row r="99" spans="1:5" ht="47" customHeight="1" x14ac:dyDescent="0.15">
      <c r="A99" s="15" t="s">
        <v>227</v>
      </c>
      <c r="B99" s="30" t="s">
        <v>2563</v>
      </c>
      <c r="C99" s="12" t="s">
        <v>16</v>
      </c>
      <c r="D99" s="13" t="s">
        <v>3103</v>
      </c>
      <c r="E99" s="10" t="str">
        <f>IF(C99="","",IF(C99="Yes","Provide a reference to your BCP and supporting documentation or submit it along with this fully-populated HECVAT.","Briefly summarize your response."))</f>
        <v>Provide a reference to your BCP and supporting documentation or submit it along with this fully-populated HECVAT.</v>
      </c>
    </row>
    <row r="100" spans="1:5" ht="47" customHeight="1" x14ac:dyDescent="0.15">
      <c r="A100" s="15" t="s">
        <v>228</v>
      </c>
      <c r="B100" s="30" t="s">
        <v>118</v>
      </c>
      <c r="C100" s="12" t="s">
        <v>16</v>
      </c>
      <c r="D100" s="13" t="s">
        <v>3195</v>
      </c>
      <c r="E100" s="10" t="str">
        <f>IF(C100="","",IF(C100="Yes","Provide additional details, as needed.","Describe any plans to define a BCP owner responsible for maintenance and review."))</f>
        <v>Provide additional details, as needed.</v>
      </c>
    </row>
    <row r="101" spans="1:5" ht="47" customHeight="1" x14ac:dyDescent="0.15">
      <c r="A101" s="15" t="s">
        <v>229</v>
      </c>
      <c r="B101" s="30" t="s">
        <v>121</v>
      </c>
      <c r="C101" s="12" t="s">
        <v>16</v>
      </c>
      <c r="D101" s="13" t="s">
        <v>3103</v>
      </c>
      <c r="E101" s="10" t="str">
        <f>IF(C101="","",IF(C101="Yes","Summarize your defined problem/issue escalation plan contained in your BCP.","Describe any plans to define a problem/issue escalation plan in your BCP."))</f>
        <v>Summarize your defined problem/issue escalation plan contained in your BCP.</v>
      </c>
    </row>
    <row r="102" spans="1:5" ht="47" customHeight="1" x14ac:dyDescent="0.15">
      <c r="A102" s="15" t="s">
        <v>230</v>
      </c>
      <c r="B102" s="30" t="s">
        <v>122</v>
      </c>
      <c r="C102" s="12" t="s">
        <v>16</v>
      </c>
      <c r="D102" s="282" t="s">
        <v>3102</v>
      </c>
      <c r="E102" s="10" t="str">
        <f>IF(C102="","",IF(C102="Yes","Summarize your documented communication plan contained in your BCP.","Describe any plans to document a communication plan in your BCP."))</f>
        <v>Summarize your documented communication plan contained in your BCP.</v>
      </c>
    </row>
    <row r="103" spans="1:5" ht="48" customHeight="1" x14ac:dyDescent="0.15">
      <c r="A103" s="15" t="s">
        <v>231</v>
      </c>
      <c r="B103" s="30" t="s">
        <v>542</v>
      </c>
      <c r="C103" s="12" t="s">
        <v>16</v>
      </c>
      <c r="D103" s="13"/>
      <c r="E103" s="10" t="str">
        <f>IF(C103="","",IF(C103="Yes","Describe your BCP component review strategy.","Describe any plans to annually review and update (as needed) your BCP."))</f>
        <v>Describe your BCP component review strategy.</v>
      </c>
    </row>
    <row r="104" spans="1:5" ht="48" customHeight="1" x14ac:dyDescent="0.15">
      <c r="A104" s="15" t="s">
        <v>232</v>
      </c>
      <c r="B104" s="30" t="s">
        <v>2068</v>
      </c>
      <c r="C104" s="12" t="s">
        <v>19</v>
      </c>
      <c r="D104" s="13" t="s">
        <v>3196</v>
      </c>
      <c r="E104" s="10" t="str">
        <f>IF(C104="","",IF(C104="Yes","State the date of your last BCP test.","Describe your strategy to implement annual BCP testing."))</f>
        <v>Describe your strategy to implement annual BCP testing.</v>
      </c>
    </row>
    <row r="105" spans="1:5" ht="47" customHeight="1" x14ac:dyDescent="0.15">
      <c r="A105" s="15" t="s">
        <v>233</v>
      </c>
      <c r="B105" s="30" t="s">
        <v>123</v>
      </c>
      <c r="C105" s="12" t="s">
        <v>16</v>
      </c>
      <c r="D105" s="13" t="s">
        <v>3104</v>
      </c>
      <c r="E105" s="10" t="str">
        <f>IF(C105="","",IF(C105="Yes","Describe your training and awareness activities.","State your plans to implement training and awareness activities focused on roles and responsibilities during a crisis."))</f>
        <v>Describe your training and awareness activities.</v>
      </c>
    </row>
    <row r="106" spans="1:5" ht="47" customHeight="1" x14ac:dyDescent="0.15">
      <c r="A106" s="15" t="s">
        <v>234</v>
      </c>
      <c r="B106" s="30" t="s">
        <v>124</v>
      </c>
      <c r="C106" s="12" t="s">
        <v>16</v>
      </c>
      <c r="D106" s="282" t="s">
        <v>3102</v>
      </c>
      <c r="E106" s="10" t="str">
        <f>IF(C106="","",IF(C106="Yes","Summarize these crisis management roles and responsibilities.","State your plans to define and document crisis management roles and responsibilities."))</f>
        <v>Summarize these crisis management roles and responsibilities.</v>
      </c>
    </row>
    <row r="107" spans="1:5" ht="47" customHeight="1" x14ac:dyDescent="0.15">
      <c r="A107" s="15" t="s">
        <v>235</v>
      </c>
      <c r="B107" s="30" t="s">
        <v>125</v>
      </c>
      <c r="C107" s="12" t="s">
        <v>19</v>
      </c>
      <c r="D107" s="13" t="s">
        <v>3105</v>
      </c>
      <c r="E107" s="10" t="str">
        <f>IF(C107="","",IF(C107="Yes","Provide the distance (in miles) between the primary and secondary locations.","Describe your plans to coordinate an alternative business site or contract with a business recovery provider?"))</f>
        <v>Describe your plans to coordinate an alternative business site or contract with a business recovery provider?</v>
      </c>
    </row>
    <row r="108" spans="1:5" ht="47" customHeight="1" x14ac:dyDescent="0.15">
      <c r="A108" s="15" t="s">
        <v>236</v>
      </c>
      <c r="B108" s="30" t="s">
        <v>2642</v>
      </c>
      <c r="C108" s="12" t="s">
        <v>19</v>
      </c>
      <c r="D108" s="13" t="s">
        <v>3105</v>
      </c>
      <c r="E108" s="10" t="str">
        <f>IF(C108="","",IF(C108="Yes","State the date of your last alternate site relocation test.","Describe your strategy to implement annual alternate site relocation testing."))</f>
        <v>Describe your strategy to implement annual alternate site relocation testing.</v>
      </c>
    </row>
    <row r="109" spans="1:5" ht="64.25" customHeight="1" x14ac:dyDescent="0.15">
      <c r="A109" s="15" t="s">
        <v>237</v>
      </c>
      <c r="B109" s="30" t="s">
        <v>2069</v>
      </c>
      <c r="C109" s="12" t="s">
        <v>16</v>
      </c>
      <c r="D109" s="13" t="s">
        <v>3149</v>
      </c>
      <c r="E109" s="10" t="str">
        <f>IF(C109="","",IF(C109="Yes","Provide a brief summary to support your selection.","Summarize this product's restoration priority in your BCP."))</f>
        <v>Provide a brief summary to support your selection.</v>
      </c>
    </row>
    <row r="110" spans="1:5" ht="36" customHeight="1" x14ac:dyDescent="0.15">
      <c r="A110" s="304" t="str">
        <f>IF($C$30="","Change Management",IF($C$30="Yes","Change Management - Optional based on QUALIFIER response.","Change Management"))</f>
        <v>Change Management</v>
      </c>
      <c r="B110" s="304"/>
      <c r="C110" s="25" t="s">
        <v>12</v>
      </c>
      <c r="D110" s="25" t="s">
        <v>13</v>
      </c>
      <c r="E110" s="7" t="s">
        <v>14</v>
      </c>
    </row>
    <row r="111" spans="1:5" ht="75" x14ac:dyDescent="0.15">
      <c r="A111" s="15" t="s">
        <v>238</v>
      </c>
      <c r="B111" s="30" t="s">
        <v>100</v>
      </c>
      <c r="C111" s="12" t="s">
        <v>16</v>
      </c>
      <c r="D111" s="13" t="s">
        <v>3099</v>
      </c>
      <c r="E111" s="10" t="str">
        <f>IF(C111="","",IF(C111="Yes","Summarize your current change management process.","Describe current plans to implement a change management process."))</f>
        <v>Summarize your current change management process.</v>
      </c>
    </row>
    <row r="112" spans="1:5" ht="80" customHeight="1" x14ac:dyDescent="0.15">
      <c r="A112" s="15" t="s">
        <v>239</v>
      </c>
      <c r="B112" s="30" t="s">
        <v>503</v>
      </c>
      <c r="C112" s="301" t="s">
        <v>3099</v>
      </c>
      <c r="D112" s="301"/>
      <c r="E112" s="10" t="s">
        <v>2565</v>
      </c>
    </row>
    <row r="113" spans="1:256" ht="64.25" customHeight="1" x14ac:dyDescent="0.15">
      <c r="A113" s="15" t="s">
        <v>240</v>
      </c>
      <c r="B113" s="30" t="s">
        <v>2070</v>
      </c>
      <c r="C113" s="12" t="s">
        <v>16</v>
      </c>
      <c r="D113" s="276" t="s">
        <v>3100</v>
      </c>
      <c r="E113" s="132" t="str">
        <f>IF(C113="","",IF(C113="Yes","State how and when the Institution will be notified of major changes to your environment.","Describe plans to establish a notification mechanism for major environmental changes."))</f>
        <v>State how and when the Institution will be notified of major changes to your environment.</v>
      </c>
    </row>
    <row r="114" spans="1:256" ht="64.25" customHeight="1" x14ac:dyDescent="0.15">
      <c r="A114" s="15" t="s">
        <v>241</v>
      </c>
      <c r="B114" s="30" t="s">
        <v>97</v>
      </c>
      <c r="C114" s="12" t="s">
        <v>19</v>
      </c>
      <c r="D114" s="135" t="s">
        <v>3106</v>
      </c>
      <c r="E114" s="10" t="str">
        <f>IF(C114="","",IF(C114="Yes","Provide reference the the process/procedure to manage releases.","Summarize why clients do not have alternative release option."))</f>
        <v>Summarize why clients do not have alternative release option.</v>
      </c>
    </row>
    <row r="115" spans="1:256" ht="64.25" customHeight="1" x14ac:dyDescent="0.15">
      <c r="A115" s="15" t="s">
        <v>242</v>
      </c>
      <c r="B115" s="30" t="s">
        <v>449</v>
      </c>
      <c r="C115" s="301" t="s">
        <v>3107</v>
      </c>
      <c r="D115" s="301"/>
      <c r="E115" s="10" t="s">
        <v>2566</v>
      </c>
    </row>
    <row r="116" spans="1:256" ht="64.25" customHeight="1" x14ac:dyDescent="0.15">
      <c r="A116" s="15" t="s">
        <v>243</v>
      </c>
      <c r="B116" s="30" t="s">
        <v>111</v>
      </c>
      <c r="C116" s="302" t="s">
        <v>3108</v>
      </c>
      <c r="D116" s="301"/>
      <c r="E116" s="10" t="s">
        <v>2567</v>
      </c>
    </row>
    <row r="117" spans="1:256" ht="64.25" customHeight="1" x14ac:dyDescent="0.15">
      <c r="A117" s="15" t="s">
        <v>244</v>
      </c>
      <c r="B117" s="30" t="s">
        <v>2071</v>
      </c>
      <c r="C117" s="12" t="s">
        <v>16</v>
      </c>
      <c r="D117" s="135" t="s">
        <v>3109</v>
      </c>
      <c r="E117" s="10" t="str">
        <f>IF(C117="","",IF(C117="Yes","Describe how this is accomplished within your system.","Describe any business or technical reasons why customizations are not supported."))</f>
        <v>Describe how this is accomplished within your system.</v>
      </c>
    </row>
    <row r="118" spans="1:256" ht="64.25" customHeight="1" x14ac:dyDescent="0.15">
      <c r="A118" s="15" t="s">
        <v>245</v>
      </c>
      <c r="B118" s="30" t="s">
        <v>2075</v>
      </c>
      <c r="C118" s="12" t="s">
        <v>16</v>
      </c>
      <c r="D118" s="135" t="s">
        <v>3110</v>
      </c>
      <c r="E118" s="10" t="str">
        <f>IF(C118="","",IF(C118="Yes","Describe how this is accomplished within your environment.","Describe your plans to ensure that only application software verifiable as authorized, tested, and approved for production, is placed into production."))</f>
        <v>Describe how this is accomplished within your environment.</v>
      </c>
    </row>
    <row r="119" spans="1:256" ht="64.25" customHeight="1" x14ac:dyDescent="0.15">
      <c r="A119" s="15" t="s">
        <v>246</v>
      </c>
      <c r="B119" s="30" t="s">
        <v>2076</v>
      </c>
      <c r="C119" s="12" t="s">
        <v>19</v>
      </c>
      <c r="D119" s="135" t="s">
        <v>3111</v>
      </c>
      <c r="E119" s="10" t="str">
        <f>IF(C119="","",IF(C119="Yes","Provide a reference to this product's release schedule.","State any plans to release a schedule of product updates."))</f>
        <v>State any plans to release a schedule of product updates.</v>
      </c>
    </row>
    <row r="120" spans="1:256" ht="64.25" customHeight="1" x14ac:dyDescent="0.15">
      <c r="A120" s="15" t="s">
        <v>247</v>
      </c>
      <c r="B120" s="30" t="s">
        <v>2077</v>
      </c>
      <c r="C120" s="12" t="s">
        <v>19</v>
      </c>
      <c r="D120" s="135" t="s">
        <v>3197</v>
      </c>
      <c r="E120" s="10" t="str">
        <f>IF(C120="","",IF(C120="Yes","Provide a reference to your technology roadmap.","State any plans to release a technology roadmap covering the next two years."))</f>
        <v>State any plans to release a technology roadmap covering the next two years.</v>
      </c>
    </row>
    <row r="121" spans="1:256" ht="64.25" customHeight="1" x14ac:dyDescent="0.15">
      <c r="A121" s="15" t="s">
        <v>248</v>
      </c>
      <c r="B121" s="30" t="s">
        <v>2078</v>
      </c>
      <c r="C121" s="12" t="s">
        <v>19</v>
      </c>
      <c r="D121" s="135"/>
      <c r="E121" s="10" t="str">
        <f>IF(C121="","",IF(C121="Yes","Summarize the Institution's responsibilities during product updates.",""))</f>
        <v/>
      </c>
    </row>
    <row r="122" spans="1:256" ht="64.25" customHeight="1" x14ac:dyDescent="0.15">
      <c r="A122" s="15" t="s">
        <v>249</v>
      </c>
      <c r="B122" s="30" t="s">
        <v>2079</v>
      </c>
      <c r="C122" s="12" t="s">
        <v>16</v>
      </c>
      <c r="D122" s="135" t="s">
        <v>3118</v>
      </c>
      <c r="E122" s="10" t="str">
        <f>IF(C122="","",IF(C122="Yes","Summarize the policy and procedure(s) managing how critical patches are applied to systems and applications.","State your plans to implement policy and procedure(s) to manage how critical patches are applied to systems and applications."))</f>
        <v>Summarize the policy and procedure(s) managing how critical patches are applied to systems and applications.</v>
      </c>
    </row>
    <row r="123" spans="1:256" ht="255" x14ac:dyDescent="0.15">
      <c r="A123" s="15" t="s">
        <v>250</v>
      </c>
      <c r="B123" s="30" t="s">
        <v>2080</v>
      </c>
      <c r="C123" s="12" t="s">
        <v>16</v>
      </c>
      <c r="D123" s="135" t="s">
        <v>3113</v>
      </c>
      <c r="E123" s="10" t="str">
        <f>IF(C123="","",IF(C123="Yes","Summarize the policy and procedure(s) guiding risk mitigation practices before critical patches can be applied.","State your plans to implement policy and procedure(s) guiding risk mitigation practices before critical patches can be applied."))</f>
        <v>Summarize the policy and procedure(s) guiding risk mitigation practices before critical patches can be applied.</v>
      </c>
    </row>
    <row r="124" spans="1:256" ht="48" customHeight="1" x14ac:dyDescent="0.15">
      <c r="A124" s="15" t="s">
        <v>251</v>
      </c>
      <c r="B124" s="30" t="s">
        <v>101</v>
      </c>
      <c r="C124" s="12" t="s">
        <v>16</v>
      </c>
      <c r="D124" s="135" t="s">
        <v>3117</v>
      </c>
      <c r="E124" s="10" t="str">
        <f>IF(C124="","",IF(C124="Yes","Define current off-peak hours.","Decribe plans to minimize the impact of downtime based on predefined off-peak hours."))</f>
        <v>Define current off-peak hours.</v>
      </c>
    </row>
    <row r="125" spans="1:256" ht="48" customHeight="1" x14ac:dyDescent="0.15">
      <c r="A125" s="15" t="s">
        <v>252</v>
      </c>
      <c r="B125" s="30" t="s">
        <v>102</v>
      </c>
      <c r="C125" s="12" t="s">
        <v>16</v>
      </c>
      <c r="D125" s="135" t="s">
        <v>3112</v>
      </c>
      <c r="E125" s="10" t="str">
        <f>IF(C125="","",IF(C125="Yes","Summarize implemented procedures ensuring that emergency changes are documented and authorized.","Describe plans to implement procedure ensuring that emergency changes are documented and authorized."))</f>
        <v>Summarize implemented procedures ensuring that emergency changes are documented and authorized.</v>
      </c>
    </row>
    <row r="126" spans="1:256" ht="36" customHeight="1" x14ac:dyDescent="0.2">
      <c r="A126" s="304" t="str">
        <f>IF($C$30="","Data",IF($C$30="Yes","Data - Optional based on QUALIFIER response.","Data"))</f>
        <v>Data</v>
      </c>
      <c r="B126" s="304"/>
      <c r="C126" s="25" t="s">
        <v>12</v>
      </c>
      <c r="D126" s="25" t="s">
        <v>13</v>
      </c>
      <c r="E126" s="7" t="s">
        <v>14</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60" x14ac:dyDescent="0.2">
      <c r="A127" s="68" t="s">
        <v>253</v>
      </c>
      <c r="B127" s="30" t="s">
        <v>2081</v>
      </c>
      <c r="C127" s="23" t="s">
        <v>16</v>
      </c>
      <c r="D127" s="32" t="s">
        <v>3114</v>
      </c>
      <c r="E127" s="10" t="str">
        <f>IF(C127="","",IF(C127="Yes","Describe or provide a reference to how institution data is physically and logically separated from that of other customers.","Describe your plan to physically and logically separate Institution's data from other customers."))</f>
        <v>Describe or provide a reference to how institution data is physically and logically separated from that of other customers.</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90" x14ac:dyDescent="0.2">
      <c r="A128" s="68" t="s">
        <v>254</v>
      </c>
      <c r="B128" s="30" t="s">
        <v>543</v>
      </c>
      <c r="C128" s="23" t="s">
        <v>16</v>
      </c>
      <c r="D128" s="32" t="s">
        <v>3119</v>
      </c>
      <c r="E128" s="10" t="str">
        <f>IF(C128="","",IF(C128="Yes","State the need for this strategy, in detail.",""))</f>
        <v>State the need for this strategy, in detail.</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2">
      <c r="A129" s="68" t="s">
        <v>255</v>
      </c>
      <c r="B129" s="30" t="s">
        <v>2571</v>
      </c>
      <c r="C129" s="23" t="s">
        <v>16</v>
      </c>
      <c r="D129" s="32" t="s">
        <v>3115</v>
      </c>
      <c r="E129" s="10" t="str">
        <f>IF(C129="","",IF(C129="Yes","Summarize your transport encryption strategy.","Decribe why sensitive data in not encrypted in transport."))</f>
        <v>Summarize your transport encryption strategy.</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68" t="s">
        <v>256</v>
      </c>
      <c r="B130" s="30" t="s">
        <v>472</v>
      </c>
      <c r="C130" s="23" t="s">
        <v>16</v>
      </c>
      <c r="D130" s="32" t="s">
        <v>3116</v>
      </c>
      <c r="E130" s="10" t="str">
        <f>IF(C130="","",IF(C130="Yes","Summarize your data encryption strategy.","Decribe why sensitive data in not encrypted in storage."))</f>
        <v>Summarize your data encryption strategy.</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68" t="s">
        <v>257</v>
      </c>
      <c r="B131" s="30" t="s">
        <v>451</v>
      </c>
      <c r="C131" s="23" t="s">
        <v>19</v>
      </c>
      <c r="D131" s="32"/>
      <c r="E131" s="10" t="str">
        <f>IF(C131="","",IF(C131="Yes","Provide a detailed description of all non-conforming modules.",""))</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65" customHeight="1" x14ac:dyDescent="0.2">
      <c r="A132" s="68" t="s">
        <v>258</v>
      </c>
      <c r="B132" s="30" t="s">
        <v>2572</v>
      </c>
      <c r="C132" s="23" t="s">
        <v>16</v>
      </c>
      <c r="D132" s="32" t="s">
        <v>3120</v>
      </c>
      <c r="E132" s="10" t="str">
        <f>IF(C132="","","Include all types of encryption; remote-access, application/database, end-user-to-system, etc.")</f>
        <v>Include all types of encryption; remote-access, application/database, end-user-to-system, etc.</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0" customHeight="1" x14ac:dyDescent="0.2">
      <c r="A133" s="68" t="s">
        <v>259</v>
      </c>
      <c r="B133" s="30" t="s">
        <v>520</v>
      </c>
      <c r="C133" s="303" t="s">
        <v>3121</v>
      </c>
      <c r="D133" s="303"/>
      <c r="E133" s="10" t="s">
        <v>2568</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48" customHeight="1" x14ac:dyDescent="0.2">
      <c r="A134" s="68" t="s">
        <v>260</v>
      </c>
      <c r="B134" s="30" t="s">
        <v>521</v>
      </c>
      <c r="C134" s="23" t="s">
        <v>19</v>
      </c>
      <c r="D134" s="32"/>
      <c r="E134" s="10" t="str">
        <f>IF(C134="","",IF(C134="Yes","Describe how data will be returned to the institution and in what format will it be presented.","Summarize why the institution's data won't be returned."))</f>
        <v>Summarize why the institution's data won't be returned.</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68" t="s">
        <v>261</v>
      </c>
      <c r="B135" s="30" t="s">
        <v>2573</v>
      </c>
      <c r="C135" s="23" t="s">
        <v>16</v>
      </c>
      <c r="D135" s="32" t="s">
        <v>3122</v>
      </c>
      <c r="E135" s="10" t="str">
        <f>IF(C135="","",IF(C135="Yes","State the length of time that Institution's data will be available in the system at the completion of the contract.","Describe your data export procedures conducted at the termination of contract."))</f>
        <v>State the length of time that Institution's data will be available in the system at the completion of the contract.</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2">
      <c r="A136" s="68" t="s">
        <v>262</v>
      </c>
      <c r="B136" s="30" t="s">
        <v>522</v>
      </c>
      <c r="C136" s="23" t="s">
        <v>19</v>
      </c>
      <c r="D136" s="32"/>
      <c r="E136" s="10" t="str">
        <f>IF(C136="","",IF(C136="Yes","Describe frequency and procedures for obtaining a full backup of data.","Summarize why the institution cannot extract a full backup of its data."))</f>
        <v>Summarize why the institution cannot extract a full backup of its data.</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68" t="s">
        <v>263</v>
      </c>
      <c r="B137" s="30" t="s">
        <v>2574</v>
      </c>
      <c r="C137" s="23" t="s">
        <v>16</v>
      </c>
      <c r="D137" s="32" t="s">
        <v>3126</v>
      </c>
      <c r="E137" s="10" t="str">
        <f>IF(C137="","",IF(C137="Yes","Provide reference to your data ownership documention.","Describe in detail why ownership rights are not retained by the institution."))</f>
        <v>Provide reference to your data ownership documention.</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68" t="s">
        <v>264</v>
      </c>
      <c r="B138" s="30" t="s">
        <v>98</v>
      </c>
      <c r="C138" s="23" t="s">
        <v>16</v>
      </c>
      <c r="D138" s="32"/>
      <c r="E138" s="10" t="str">
        <f>IF(C138="","",IF(C138="Yes","Provide references, as needed.","Provide a detailed description why rights are not retained."))</f>
        <v>Provide references, as needed.</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45" x14ac:dyDescent="0.2">
      <c r="A139" s="68" t="s">
        <v>265</v>
      </c>
      <c r="B139" s="30" t="s">
        <v>99</v>
      </c>
      <c r="C139" s="23" t="s">
        <v>16</v>
      </c>
      <c r="D139" s="32"/>
      <c r="E139" s="10" t="str">
        <f>IF(C139="","",IF(C139="Yes","State how the institution will be notified of imminent termination.","Provide a detailed summary to support your selection."))</f>
        <v>State how the institution will be notified of imminent termination.</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16" customHeight="1" x14ac:dyDescent="0.2">
      <c r="A140" s="68" t="s">
        <v>266</v>
      </c>
      <c r="B140" s="30" t="s">
        <v>446</v>
      </c>
      <c r="C140" s="303" t="s">
        <v>3124</v>
      </c>
      <c r="D140" s="303"/>
      <c r="E140" s="10" t="s">
        <v>2569</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5" t="s">
        <v>267</v>
      </c>
      <c r="B141" s="30" t="s">
        <v>104</v>
      </c>
      <c r="C141" s="23" t="s">
        <v>16</v>
      </c>
      <c r="D141" s="32" t="s">
        <v>3125</v>
      </c>
      <c r="E141" s="10" t="str">
        <f>IF(C141="","",IF(C141="Yes","Summarize your backup scheduling strategy.","Describe plans to implement pre-defined schedules for secure backups."))</f>
        <v>Summarize your backup scheduling strategy.</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5" t="s">
        <v>268</v>
      </c>
      <c r="B142" s="30" t="s">
        <v>22</v>
      </c>
      <c r="C142" s="303" t="s">
        <v>3123</v>
      </c>
      <c r="D142" s="303"/>
      <c r="E142" s="10" t="s">
        <v>2570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5" t="s">
        <v>269</v>
      </c>
      <c r="B143" s="30" t="s">
        <v>544</v>
      </c>
      <c r="C143" s="23" t="s">
        <v>16</v>
      </c>
      <c r="D143" s="32" t="s">
        <v>3131</v>
      </c>
      <c r="E143" s="10" t="str">
        <f>IF(C143="","",IF(C143="Yes","Summarize the encryption algorithm/strategy you are using to secure backups.","Summarize why backups are not encrypted."))</f>
        <v>Summarize the encryption algorithm/strategy you are using to secure backups.</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72" customHeight="1" x14ac:dyDescent="0.2">
      <c r="A144" s="15" t="s">
        <v>270</v>
      </c>
      <c r="B144" s="30" t="s">
        <v>2644</v>
      </c>
      <c r="C144" s="23" t="s">
        <v>19</v>
      </c>
      <c r="D144" s="33" t="s">
        <v>3132</v>
      </c>
      <c r="E144" s="10" t="str">
        <f>IF(C144="","",IF(C144="Yes","Summarize your cryptographic key management process.","Provide a brief summary supporting your response."))</f>
        <v>Provide a brief summary supporting your response.</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5" t="s">
        <v>271</v>
      </c>
      <c r="B145" s="30" t="s">
        <v>545</v>
      </c>
      <c r="C145" s="23" t="s">
        <v>16</v>
      </c>
      <c r="D145" s="32" t="s">
        <v>3128</v>
      </c>
      <c r="E145" s="10" t="str">
        <f>IF(C145="","",IF(C145="Yes","Decribe your overall strategy to accomplish these elements.","State plans to include the elements listed in DATA-20 in your backup strategy."))</f>
        <v>Decribe your overall strategy to accomplish these elements.</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2">
      <c r="A146" s="15" t="s">
        <v>272</v>
      </c>
      <c r="B146" s="30" t="s">
        <v>2575</v>
      </c>
      <c r="C146" s="23" t="s">
        <v>16</v>
      </c>
      <c r="D146" s="32" t="s">
        <v>3127</v>
      </c>
      <c r="E146" s="10" t="str">
        <f>IF(C146="","",IF(C146="Yes","Summarize your off site backup strategy.","State any plans to implement off site physical backups in your environment."))</f>
        <v>Summarize your off site backup strategy.</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273</v>
      </c>
      <c r="B147" s="30" t="s">
        <v>546</v>
      </c>
      <c r="C147" s="23" t="s">
        <v>19</v>
      </c>
      <c r="D147" s="32" t="s">
        <v>3129</v>
      </c>
      <c r="E147" s="10" t="str">
        <f>IF(C147="","",IF(C147="Yes","Provide the distance (in miles) between the primary and off-site locations.","State any plans to implement off site physical backups in your environment."))</f>
        <v>State any plans to implement off site physical backups in your environment.</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274</v>
      </c>
      <c r="B148" s="30" t="s">
        <v>2630</v>
      </c>
      <c r="C148" s="23" t="s">
        <v>19</v>
      </c>
      <c r="D148" s="32"/>
      <c r="E148" s="10" t="str">
        <f>IF(C148="","",IF(C148="Yes","Summarize why backups containing the Institution's data leave the Institution's data zone.",""))</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3.25" customHeight="1" x14ac:dyDescent="0.2">
      <c r="A149" s="15" t="s">
        <v>275</v>
      </c>
      <c r="B149" s="30" t="s">
        <v>2643</v>
      </c>
      <c r="C149" s="23" t="s">
        <v>16</v>
      </c>
      <c r="D149" s="200" t="s">
        <v>3130</v>
      </c>
      <c r="E149" s="201" t="str">
        <f>IF(C149="","",IF(C149="Yes","Provide details of these procedures (link or attached).","Provide a detailed summary for this response."))</f>
        <v>Provide details of these procedures (link or attached).</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5" t="s">
        <v>276</v>
      </c>
      <c r="B150" s="30" t="s">
        <v>2651</v>
      </c>
      <c r="C150" s="23" t="s">
        <v>19</v>
      </c>
      <c r="D150" s="32" t="s">
        <v>3198</v>
      </c>
      <c r="E150" s="10" t="str">
        <f>IF(C150="","",IF(C150="Yes","","State plans to adhere to DoD 5220.22-M and/or NIST SP 800-88 standards."))</f>
        <v>State plans to adhere to DoD 5220.22-M and/or NIST SP 800-88 standards.</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277</v>
      </c>
      <c r="B151" s="30" t="s">
        <v>106</v>
      </c>
      <c r="C151" s="23" t="s">
        <v>16</v>
      </c>
      <c r="D151" s="32"/>
      <c r="E151" s="10" t="str">
        <f>IF(C151="","",IF(C151="Yes","Provide a general summary of your long-term data retention strategy.","State plans to implement a long-term data retention strategy."))</f>
        <v>Provide a general summary of your long-term data retention strategy.</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5" t="s">
        <v>278</v>
      </c>
      <c r="B152" s="30" t="s">
        <v>105</v>
      </c>
      <c r="C152" s="23" t="s">
        <v>16</v>
      </c>
      <c r="D152" s="32" t="s">
        <v>3133</v>
      </c>
      <c r="E152" s="10" t="str">
        <f>IF(C152="","",IF(C152="Yes","Provide a general summary of your archival environment.","State plans to store long-term media in environmentally protected areas."))</f>
        <v>Provide a general summary of your archival environment.</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5" t="s">
        <v>279</v>
      </c>
      <c r="B153" s="30" t="s">
        <v>23</v>
      </c>
      <c r="C153" s="23" t="s">
        <v>16</v>
      </c>
      <c r="D153" s="32" t="s">
        <v>3134</v>
      </c>
      <c r="E153" s="10" t="str">
        <f>IF(C153="","",IF(C153="Yes","Describe how FERPA compliance is integrated into your process and procedures.","State plans to handle data in a FERPA compliant manner."))</f>
        <v>Describe how FERPA compliance is integrated into your process and procedures.</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90" x14ac:dyDescent="0.2">
      <c r="A154" s="15" t="s">
        <v>280</v>
      </c>
      <c r="B154" s="30" t="s">
        <v>523</v>
      </c>
      <c r="C154" s="23" t="s">
        <v>16</v>
      </c>
      <c r="D154" s="13" t="s">
        <v>3135</v>
      </c>
      <c r="E154" s="10" t="str">
        <f>IF(C154="","",IF(C154="Yes","Summarize why the Institution's data is visible in system adminitration modules/tools.",""))</f>
        <v>Summarize why the Institution's data is visible in system adminitration modules/tools.</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36" customHeight="1" x14ac:dyDescent="0.2">
      <c r="A155" s="304" t="str">
        <f>IF($C$30="","Database",IF($C$30="Yes","Database - Optional based on QUALIFIER response.","Database"))</f>
        <v>Database</v>
      </c>
      <c r="B155" s="304"/>
      <c r="C155" s="25" t="s">
        <v>12</v>
      </c>
      <c r="D155" s="25" t="s">
        <v>13</v>
      </c>
      <c r="E155" s="7" t="s">
        <v>14</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5" t="s">
        <v>281</v>
      </c>
      <c r="B156" s="30" t="s">
        <v>24</v>
      </c>
      <c r="C156" s="12" t="s">
        <v>16</v>
      </c>
      <c r="D156" s="283" t="s">
        <v>3136</v>
      </c>
      <c r="E156" s="10" t="str">
        <f>IF(C156="","",IF(C156="Yes","Describe the type of encryption that is supported.","State plans to support database encryption (in storage) of specified data elements."))</f>
        <v>Describe the type of encryption that is supported.</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5" t="s">
        <v>282</v>
      </c>
      <c r="B157" s="30" t="s">
        <v>558</v>
      </c>
      <c r="C157" s="12" t="s">
        <v>16</v>
      </c>
      <c r="D157" s="283" t="s">
        <v>3136</v>
      </c>
      <c r="E157" s="10" t="str">
        <f>IF(C157="","",IF(C157="Yes","Describe how encryption is leveraged in your database(s).","Describe plans to implement encryption in your database(s)"))</f>
        <v>Describe how encryption is leveraged in your database(s).</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36" customHeight="1" x14ac:dyDescent="0.2">
      <c r="A158" s="304" t="str">
        <f>IF($C$30="","Datacenter",IF($C$30="Yes","Datacenter - Optional based on QUALIFIER response.","Datacenter"))</f>
        <v>Datacenter</v>
      </c>
      <c r="B158" s="304"/>
      <c r="C158" s="25" t="s">
        <v>12</v>
      </c>
      <c r="D158" s="25" t="s">
        <v>13</v>
      </c>
      <c r="E158" s="7" t="s">
        <v>14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9.25" customHeight="1" x14ac:dyDescent="0.2">
      <c r="A159" s="15" t="s">
        <v>283</v>
      </c>
      <c r="B159" s="30" t="s">
        <v>547</v>
      </c>
      <c r="C159" s="12" t="s">
        <v>19</v>
      </c>
      <c r="D159" s="13" t="s">
        <v>3137</v>
      </c>
      <c r="E159" s="10" t="str">
        <f>IF(C159="","",IF(C159="Yes","Provide a brief summary of your data center.","Provide a detailed description of where the Institution's data will reside."))</f>
        <v>Provide a detailed description of where the Institution's data will reside.</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5" t="s">
        <v>284</v>
      </c>
      <c r="B160" s="30" t="s">
        <v>504</v>
      </c>
      <c r="C160" s="12" t="s">
        <v>16</v>
      </c>
      <c r="D160" s="13"/>
      <c r="E160" s="10" t="str">
        <f>IF(C160="","",IF(C160="Yes","Obtain the report if possible and add it to your submission.",""))</f>
        <v>Obtain the report if possible and add it to your submission.</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285</v>
      </c>
      <c r="B161" s="30" t="s">
        <v>2992</v>
      </c>
      <c r="C161" s="12" t="s">
        <v>16</v>
      </c>
      <c r="D161" s="13"/>
      <c r="E161" s="10" t="str">
        <f>IF(C161="","",IF(C161="Yes","Describe the on-site staff capabilities.","State any plans to staff data centers 24x7x365."))</f>
        <v>Describe the on-site staff capabilities.</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7" customHeight="1" x14ac:dyDescent="0.2">
      <c r="A162" s="15" t="s">
        <v>286</v>
      </c>
      <c r="B162" s="30" t="s">
        <v>25</v>
      </c>
      <c r="C162" s="12" t="s">
        <v>19</v>
      </c>
      <c r="D162" s="13"/>
      <c r="E162" s="10" t="str">
        <f>IF(C162="","",IF(C162="Yes","Provide a brief summary of this arrangement.",""))</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7" customHeight="1" x14ac:dyDescent="0.2">
      <c r="A163" s="15" t="s">
        <v>287</v>
      </c>
      <c r="B163" s="30" t="s">
        <v>26</v>
      </c>
      <c r="C163" s="12"/>
      <c r="D163" s="13"/>
      <c r="E163" s="10" t="str">
        <f>IF(C163="","",IF(C163="Yes","Describe your physical barrier strategy.","State plans to separate your servers for others via a physical barrier."))</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5" t="s">
        <v>288</v>
      </c>
      <c r="B164" s="30" t="s">
        <v>2645</v>
      </c>
      <c r="C164" s="12"/>
      <c r="D164" s="13"/>
      <c r="E164" s="10" t="str">
        <f>IF(C164="","",IF(C164="Yes","Elaborate on your DCTR-05 response, as needed.","State plans to implement a physical barrier to prevent physical contact with any of your devices."))</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7" customHeight="1" x14ac:dyDescent="0.2">
      <c r="A165" s="15" t="s">
        <v>289</v>
      </c>
      <c r="B165" s="30" t="s">
        <v>28</v>
      </c>
      <c r="C165" s="12" t="s">
        <v>88</v>
      </c>
      <c r="D165" s="13" t="s">
        <v>3138</v>
      </c>
      <c r="E165" s="10" t="s">
        <v>2576</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
      <c r="A166" s="15" t="s">
        <v>290</v>
      </c>
      <c r="B166" s="30" t="s">
        <v>2095</v>
      </c>
      <c r="C166" s="12" t="s">
        <v>19</v>
      </c>
      <c r="D166" s="13"/>
      <c r="E166" s="10" t="str">
        <f>IF(C166="","",IF(C166="Yes","State the location of the data center and summarize the strategy for this implementation.",""))</f>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291</v>
      </c>
      <c r="B167" s="30" t="s">
        <v>2606</v>
      </c>
      <c r="C167" s="12" t="s">
        <v>19</v>
      </c>
      <c r="D167" s="13"/>
      <c r="E167" s="10" t="str">
        <f>IF(C167="","",IF(C167="Yes","Summarize the strategy for removing Institution's data from its Data Zone.",""))</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64.25" customHeight="1" x14ac:dyDescent="0.2">
      <c r="A168" s="15" t="s">
        <v>292</v>
      </c>
      <c r="B168" s="30" t="s">
        <v>2632</v>
      </c>
      <c r="C168" s="301"/>
      <c r="D168" s="301"/>
      <c r="E168" s="10" t="s">
        <v>2577</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50" x14ac:dyDescent="0.2">
      <c r="A169" s="15" t="s">
        <v>293</v>
      </c>
      <c r="B169" s="30" t="s">
        <v>27</v>
      </c>
      <c r="C169" s="12" t="s">
        <v>16</v>
      </c>
      <c r="D169" s="13" t="s">
        <v>3139</v>
      </c>
      <c r="E169" s="10" t="str">
        <f>IF(C169="","",IF(C169="Yes","State your primary and secondary data center locations. For cloud infrastructures, state the primary and secondary zones.","Decribe any plans to implement a geographically diverse infrastructure."))</f>
        <v>State your primary and secondary data center locations. For cloud infrastructures, state the primary and secondary zones.</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
      <c r="A170" s="15" t="s">
        <v>294</v>
      </c>
      <c r="B170" s="30" t="s">
        <v>2607</v>
      </c>
      <c r="C170" s="12" t="s">
        <v>16</v>
      </c>
      <c r="D170" s="13" t="s">
        <v>3140</v>
      </c>
      <c r="E170" s="10" t="str">
        <f>IF(C170="","",IF(C170="Yes","Summarize details of the contract, where applicable.","State any plans to implement data location elements in future contracts."))</f>
        <v>Summarize details of the contract, where applicable.</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4.25" customHeight="1" x14ac:dyDescent="0.2">
      <c r="A171" s="15" t="s">
        <v>295</v>
      </c>
      <c r="B171" s="30" t="s">
        <v>103</v>
      </c>
      <c r="C171" s="12" t="s">
        <v>498</v>
      </c>
      <c r="D171" s="33" t="s">
        <v>3141</v>
      </c>
      <c r="E171" s="10" t="s">
        <v>2578</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 customFormat="1" ht="90" x14ac:dyDescent="0.2">
      <c r="A172" s="15" t="s">
        <v>296</v>
      </c>
      <c r="B172" s="30" t="s">
        <v>466</v>
      </c>
      <c r="C172" s="12" t="s">
        <v>16</v>
      </c>
      <c r="D172" s="13" t="s">
        <v>3143</v>
      </c>
      <c r="E172" s="10" t="str">
        <f>IF(C172="","",IF(C172="Yes","Provide a summary to support your response selection.","Describe any plans to implement a high availability environment for your systems."))</f>
        <v>Provide a summary to support your response selection.</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5" t="s">
        <v>297</v>
      </c>
      <c r="B173" s="30" t="s">
        <v>524</v>
      </c>
      <c r="C173" s="12" t="s">
        <v>16</v>
      </c>
      <c r="D173" s="13" t="s">
        <v>3144</v>
      </c>
      <c r="E173" s="10" t="str">
        <f>IF(C173="","",IF(C173="Yes","Provide a detailed description of the implemented strategy. (i.e. batteries, generator)","Provide a brief description."))</f>
        <v>Provide a detailed description of the implemented strategy. (i.e. batteries, generator)</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5" t="s">
        <v>298</v>
      </c>
      <c r="B174" s="30" t="s">
        <v>2580</v>
      </c>
      <c r="C174" s="12" t="s">
        <v>16</v>
      </c>
      <c r="D174" s="13" t="s">
        <v>3144</v>
      </c>
      <c r="E174" s="10" t="str">
        <f>IF(C174="","",IF(C174="Yes","State how often redundant power strategies are tested and the date of the last successful test.","State plans to implement redundant power testing for your systems."))</f>
        <v>State how often redundant power strategies are tested and the date of the last successful test.</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299</v>
      </c>
      <c r="B175" s="30" t="s">
        <v>525</v>
      </c>
      <c r="C175" s="301" t="s">
        <v>3145</v>
      </c>
      <c r="D175" s="301"/>
      <c r="E175" s="10" t="s">
        <v>2579</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300</v>
      </c>
      <c r="B176" s="30" t="s">
        <v>548</v>
      </c>
      <c r="C176" s="301" t="s">
        <v>3145</v>
      </c>
      <c r="D176" s="301"/>
      <c r="E176" s="10" t="s">
        <v>2623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301</v>
      </c>
      <c r="B177" s="30" t="s">
        <v>549</v>
      </c>
      <c r="C177" s="12" t="s">
        <v>16</v>
      </c>
      <c r="D177" s="13" t="s">
        <v>3145</v>
      </c>
      <c r="E177" s="10" t="str">
        <f>IF(C177="","",IF(C177="Yes","Provide a brief description for each datacenter.","State plans to implement diversity of path in your network provider connections."))</f>
        <v>Provide a brief description for each datacenter.</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36" customHeight="1" x14ac:dyDescent="0.2">
      <c r="A178" s="304" t="str">
        <f>IF(OR($C$28="No",$C$30="Yes"),"DRP - Respond to as many questions below as possible.","Disaster Recovery Plan")</f>
        <v>Disaster Recovery Plan</v>
      </c>
      <c r="B178" s="304"/>
      <c r="C178" s="25" t="s">
        <v>12</v>
      </c>
      <c r="D178" s="25" t="s">
        <v>13</v>
      </c>
      <c r="E178" s="7" t="s">
        <v>14</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48" customHeight="1" x14ac:dyDescent="0.2">
      <c r="A179" s="15" t="s">
        <v>302</v>
      </c>
      <c r="B179" s="30" t="s">
        <v>550</v>
      </c>
      <c r="C179" s="301" t="s">
        <v>3102</v>
      </c>
      <c r="D179" s="301"/>
      <c r="E179" s="10" t="s">
        <v>2582</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7" customHeight="1" x14ac:dyDescent="0.2">
      <c r="A180" s="15" t="s">
        <v>303</v>
      </c>
      <c r="B180" s="30" t="s">
        <v>551</v>
      </c>
      <c r="C180" s="12" t="s">
        <v>16</v>
      </c>
      <c r="D180" s="13" t="s">
        <v>3146</v>
      </c>
      <c r="E180" s="10" t="str">
        <f>IF(C180="","",IF(C180="Yes","State the responsible owner, or position title.","State plans to assign an owner responsible of the maintenance and review of the DRP."))</f>
        <v>State the responsible owner, or position title.</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 customHeight="1" x14ac:dyDescent="0.2">
      <c r="A181" s="15" t="s">
        <v>304</v>
      </c>
      <c r="B181" s="30" t="s">
        <v>2581</v>
      </c>
      <c r="C181" s="12" t="s">
        <v>16</v>
      </c>
      <c r="D181" s="13" t="s">
        <v>3103</v>
      </c>
      <c r="E181" s="10" t="str">
        <f>IF(C181="","",IF(C181="Yes","Provide DRP with your submission of this fully-populated HECVAT.",""))</f>
        <v>Provide DRP with your submission of this fully-populated HECVAT.</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 customHeight="1" x14ac:dyDescent="0.2">
      <c r="A182" s="15" t="s">
        <v>305</v>
      </c>
      <c r="B182" s="30" t="s">
        <v>2608</v>
      </c>
      <c r="C182" s="12" t="s">
        <v>19</v>
      </c>
      <c r="D182" s="13"/>
      <c r="E182" s="10" t="str">
        <f>IF(C182="","",IF(C182="Yes","List all locations outside of the U.S. and provide a brief summary of each.",""))</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05" x14ac:dyDescent="0.2">
      <c r="A183" s="15" t="s">
        <v>306</v>
      </c>
      <c r="B183" s="30" t="s">
        <v>2584</v>
      </c>
      <c r="C183" s="12" t="s">
        <v>16</v>
      </c>
      <c r="D183" s="13" t="s">
        <v>3148</v>
      </c>
      <c r="E183" s="10" t="str">
        <f>IF(C183="","",IF(C183="Yes","Summarize your disaster recovery strategy including the type of availability your disaster recovery site provides.","Describe your recovery plans if your primary location is unavailable."))</f>
        <v>Summarize your disaster recovery strategy including the type of availability your disaster recovery site provides.</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 customHeight="1" x14ac:dyDescent="0.2">
      <c r="A184" s="15" t="s">
        <v>307</v>
      </c>
      <c r="B184" s="30" t="s">
        <v>117</v>
      </c>
      <c r="C184" s="12" t="s">
        <v>19</v>
      </c>
      <c r="D184" s="13" t="s">
        <v>3147</v>
      </c>
      <c r="E184" s="10" t="str">
        <f>IF(C184="","",IF(C184="Yes","Summarize your disaster recovery relocation testing strategy.","State plans to implement disaster recovery relocation testing."))</f>
        <v>State plans to implement disaster recovery relocation testing.</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2">
      <c r="A185" s="15" t="s">
        <v>308</v>
      </c>
      <c r="B185" s="30" t="s">
        <v>120</v>
      </c>
      <c r="C185" s="12" t="s">
        <v>16</v>
      </c>
      <c r="D185" s="13" t="s">
        <v>3103</v>
      </c>
      <c r="E185" s="10" t="str">
        <f>IF(C185="","",IF(C185="Yes","Summarize your problem/issue escalation plan.","Describe your plans to implement a problem/issue escalation plan in your DRP."))</f>
        <v>Summarize your problem/issue escalation plan.</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2">
      <c r="A186" s="15" t="s">
        <v>309</v>
      </c>
      <c r="B186" s="30" t="s">
        <v>119</v>
      </c>
      <c r="C186" s="12" t="s">
        <v>16</v>
      </c>
      <c r="D186" s="13" t="s">
        <v>3103</v>
      </c>
      <c r="E186" s="10" t="str">
        <f>IF(C186="","",IF(C186="Yes","Summarize your documented communication plan in your DRP.","Describe your plans to implement a documented communication plan in your DRP."))</f>
        <v>Summarize your documented communication plan in your DRP.</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2">
      <c r="A187" s="15" t="s">
        <v>310</v>
      </c>
      <c r="B187" s="30" t="s">
        <v>505</v>
      </c>
      <c r="C187" s="301" t="s">
        <v>3103</v>
      </c>
      <c r="D187" s="301"/>
      <c r="E187" s="10" t="s">
        <v>2583</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64.25" customHeight="1" x14ac:dyDescent="0.2">
      <c r="A188" s="15" t="s">
        <v>311</v>
      </c>
      <c r="B188" s="30" t="s">
        <v>902</v>
      </c>
      <c r="C188" s="12" t="s">
        <v>19</v>
      </c>
      <c r="D188" s="13" t="s">
        <v>3147</v>
      </c>
      <c r="E188" s="10" t="str">
        <f>IF(C188="","",IF(C188="Yes","Provide a summary of the results, including actual recovery time.","State the date of your next planned DRP test."))</f>
        <v>State the date of your next planned DRP test.</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25" customHeight="1" x14ac:dyDescent="0.2">
      <c r="A189" s="15" t="s">
        <v>312</v>
      </c>
      <c r="B189" s="30" t="s">
        <v>113</v>
      </c>
      <c r="C189" s="12" t="s">
        <v>16</v>
      </c>
      <c r="D189" s="13" t="s">
        <v>3103</v>
      </c>
      <c r="E189" s="10" t="str">
        <f>IF(C189="","",IF(C189="Yes","Summarize your recovery time capabilities observations.","Describe plans to implement appropriate tests to identify actual recovery time capabilities."))</f>
        <v>Summarize your recovery time capabilities observations.</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8" customHeight="1" x14ac:dyDescent="0.2">
      <c r="A190" s="15" t="s">
        <v>313</v>
      </c>
      <c r="B190" s="30" t="s">
        <v>552</v>
      </c>
      <c r="C190" s="12" t="s">
        <v>16</v>
      </c>
      <c r="D190" s="13" t="s">
        <v>3103</v>
      </c>
      <c r="E190" s="10" t="str">
        <f>IF(C190="","",IF(C190="Yes","Summarize your DRP review and update processes and/or procedures.","State plans to implement annual (at a minimum) testing of your DRP."))</f>
        <v>Summarize your DRP review and update processes and/or procedures.</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314</v>
      </c>
      <c r="B191" s="30" t="s">
        <v>473</v>
      </c>
      <c r="C191" s="12" t="s">
        <v>16</v>
      </c>
      <c r="D191" s="13" t="s">
        <v>3150</v>
      </c>
      <c r="E191" s="10" t="str">
        <f>IF(C191="","",IF(C191="Yes","Summarize your cyber insurance strategy.","Descibe any plans to carry cyber-risk insurance in the future."))</f>
        <v>Summarize your cyber insurance strategy.</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36" customHeight="1" x14ac:dyDescent="0.2">
      <c r="A192" s="304" t="str">
        <f>IF($C$30="","Firewalls, IDS, IPS, and Networking",IF($C$30="Yes","FW/IDPS/Networks - Optional based on QUALIFIER response.","Firewalls, IDS, IPS, and Networking"))</f>
        <v>Firewalls, IDS, IPS, and Networking</v>
      </c>
      <c r="B192" s="304"/>
      <c r="C192" s="25" t="s">
        <v>12</v>
      </c>
      <c r="D192" s="25" t="s">
        <v>13</v>
      </c>
      <c r="E192" s="7" t="s">
        <v>14</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8" customHeight="1" x14ac:dyDescent="0.2">
      <c r="A193" s="15" t="s">
        <v>315</v>
      </c>
      <c r="B193" s="30" t="s">
        <v>31</v>
      </c>
      <c r="C193" s="12" t="s">
        <v>19</v>
      </c>
      <c r="D193" s="13" t="s">
        <v>3156</v>
      </c>
      <c r="E193" s="10" t="str">
        <f>IF(C193="","",IF(C193="Yes","Describe the currently implemented WAF.","Describe compensating controls that protect your web application, if applicable."))</f>
        <v>Describe compensating controls that protect your web application, if applicable.</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2">
      <c r="A194" s="15" t="s">
        <v>316</v>
      </c>
      <c r="B194" s="30" t="s">
        <v>32</v>
      </c>
      <c r="C194" s="12" t="s">
        <v>19</v>
      </c>
      <c r="D194" s="13" t="s">
        <v>3153</v>
      </c>
      <c r="E194" s="10" t="str">
        <f>IF(C194="","",IF(C194="Yes","Describe the currently implemented SPI firewall.","Describe any plans to implement a SPI firewall."))</f>
        <v>Describe any plans to implement a SPI firewall.</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317</v>
      </c>
      <c r="B195" s="30" t="s">
        <v>506</v>
      </c>
      <c r="C195" s="301" t="s">
        <v>3151</v>
      </c>
      <c r="D195" s="301"/>
      <c r="E195" s="10" t="s">
        <v>2586</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5" t="s">
        <v>318</v>
      </c>
      <c r="B196" s="30" t="s">
        <v>507</v>
      </c>
      <c r="C196" s="12" t="s">
        <v>19</v>
      </c>
      <c r="D196" s="13" t="s">
        <v>3153</v>
      </c>
      <c r="E196" s="10" t="str">
        <f>IF(C196="","",IF(C196="Yes","Describe your documented firewall change request policy.","Describe your plans to implement a documented policy for firewall change requests."))</f>
        <v>Describe your plans to implement a documented policy for firewall change requests.</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5" t="s">
        <v>319</v>
      </c>
      <c r="B197" s="30" t="s">
        <v>107</v>
      </c>
      <c r="C197" s="12" t="s">
        <v>16</v>
      </c>
      <c r="D197" s="13" t="s">
        <v>3152</v>
      </c>
      <c r="E197" s="10" t="str">
        <f>IF(C197="","",IF(C197="Yes","Describe the currently implemented IDS.","Describe your plan to implement a Intrusion Detection System in your environment."))</f>
        <v>Describe the currently implemented IDS.</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320</v>
      </c>
      <c r="B198" s="30" t="s">
        <v>108</v>
      </c>
      <c r="C198" s="12" t="s">
        <v>19</v>
      </c>
      <c r="D198" s="13" t="s">
        <v>3153</v>
      </c>
      <c r="E198" s="10" t="str">
        <f>IF(C198="","",IF(C198="Yes","Describe the currently implemented IPS.","Describe your plan to implement a Intrusion Prevention System in your environment."))</f>
        <v>Describe your plan to implement a Intrusion Prevention System in your environment.</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321</v>
      </c>
      <c r="B199" s="30" t="s">
        <v>126</v>
      </c>
      <c r="C199" s="12" t="s">
        <v>16</v>
      </c>
      <c r="D199" s="13" t="s">
        <v>3152</v>
      </c>
      <c r="E199" s="10" t="str">
        <f>IF(C199="","",IF(C199="Yes","Describe the currently implemented host-based IDS solution(s).","Describe your plan to implement host-based Intrusion Detection System capabilities in your environment."))</f>
        <v>Describe the currently implemented host-based IDS solution(s).</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322</v>
      </c>
      <c r="B200" s="30" t="s">
        <v>127</v>
      </c>
      <c r="C200" s="12" t="s">
        <v>19</v>
      </c>
      <c r="D200" s="13" t="s">
        <v>3153</v>
      </c>
      <c r="E200" s="10" t="str">
        <f>IF(C200="","",IF(C200="Yes","Describe the currently implemented host-based IPS solution(s).","Describe your plan to implement host-based Intrusion Prevention System capabilities in your environment."))</f>
        <v>Describe your plan to implement host-based Intrusion Prevention System capabilities in your environment.</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323</v>
      </c>
      <c r="B201" s="30" t="s">
        <v>2646</v>
      </c>
      <c r="C201" s="12" t="s">
        <v>16</v>
      </c>
      <c r="D201" s="33" t="s">
        <v>3152</v>
      </c>
      <c r="E201" s="201" t="str">
        <f>IF(C201="","",IF(C201="Yes","Describe your NGPT monitoring strategy.","Describe your intent to implement NGPT monitoring."))</f>
        <v>Describe your NGPT monitoring strategy.</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5" t="s">
        <v>324</v>
      </c>
      <c r="B202" s="30" t="s">
        <v>109</v>
      </c>
      <c r="C202" s="12" t="s">
        <v>16</v>
      </c>
      <c r="D202" s="13"/>
      <c r="E202" s="10" t="str">
        <f>IF(C202="","",IF(C202="Yes","Provide a brief summary of this activity.","State plans to implement 24x7x365 intrusion monitoring in your environment(s)."))</f>
        <v>Provide a brief summary of this activity.</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325</v>
      </c>
      <c r="B203" s="30" t="s">
        <v>110</v>
      </c>
      <c r="C203" s="301" t="s">
        <v>3154</v>
      </c>
      <c r="D203" s="301"/>
      <c r="E203" s="10" t="s">
        <v>2993</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326</v>
      </c>
      <c r="B204" s="30" t="s">
        <v>2585</v>
      </c>
      <c r="C204" s="12" t="s">
        <v>16</v>
      </c>
      <c r="D204" s="13" t="s">
        <v>3155</v>
      </c>
      <c r="E204" s="10" t="str">
        <f>IF(C204="","",IF(C204="Yes","Describe your current network systems logging strategy.","State plans to implement auditing capabilities for your network, firewall, IDS and/or IPS"))</f>
        <v>Describe your current network systems logging strategy.</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36" customHeight="1" x14ac:dyDescent="0.2">
      <c r="A205" s="304" t="str">
        <f>IF(OR($C$25="No",$C$30="Yes"),"Mobile Applications - Optional based on QUALIFIER response.","Mobile Applications")</f>
        <v>Mobile Applications</v>
      </c>
      <c r="B205" s="304"/>
      <c r="C205" s="25" t="s">
        <v>12</v>
      </c>
      <c r="D205" s="25" t="s">
        <v>13</v>
      </c>
      <c r="E205" s="7" t="s">
        <v>14</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5" t="s">
        <v>327</v>
      </c>
      <c r="B206" s="30" t="s">
        <v>50</v>
      </c>
      <c r="C206" s="301" t="s">
        <v>3157</v>
      </c>
      <c r="D206" s="301"/>
      <c r="E206" s="10" t="s">
        <v>2587</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7" customHeight="1" x14ac:dyDescent="0.2">
      <c r="A207" s="15" t="s">
        <v>328</v>
      </c>
      <c r="B207" s="30" t="s">
        <v>508</v>
      </c>
      <c r="C207" s="301" t="s">
        <v>3089</v>
      </c>
      <c r="D207" s="301"/>
      <c r="E207" s="10" t="s">
        <v>2588</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
      <c r="A208" s="15" t="s">
        <v>329</v>
      </c>
      <c r="B208" s="30" t="s">
        <v>51</v>
      </c>
      <c r="C208" s="12" t="s">
        <v>16</v>
      </c>
      <c r="D208" s="13" t="s">
        <v>3158</v>
      </c>
      <c r="E208" s="10" t="str">
        <f>IF(C208="","",IF(C208="Yes","State the application title as listed within the trusted source.","Decribe how the application is distributed. Also, state any plans to publish the app to a trusted source."))</f>
        <v>State the application title as listed within the trusted source.</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330</v>
      </c>
      <c r="B209" s="30" t="s">
        <v>52</v>
      </c>
      <c r="C209" s="12" t="s">
        <v>16</v>
      </c>
      <c r="D209" s="13" t="s">
        <v>3159</v>
      </c>
      <c r="E209" s="10" t="str">
        <f>IF(C209="","",IF(C209="Yes","Provide a detailed summary for your response.",""))</f>
        <v>Provide a detailed summary for your response.</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5" t="s">
        <v>331</v>
      </c>
      <c r="B210" s="30" t="s">
        <v>2589</v>
      </c>
      <c r="C210" s="12" t="s">
        <v>16</v>
      </c>
      <c r="D210" s="13" t="s">
        <v>3160</v>
      </c>
      <c r="E210" s="10" t="str">
        <f>IF(C210="","",IF(C210="Yes","Describe how data is encrypted in transport. (i.e. from system to app)","Summarize why data is not encrypted in transport. (i.e. from system to app)"))</f>
        <v>Describe how data is encrypted in transport. (i.e. from system to app)</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332</v>
      </c>
      <c r="B211" s="30" t="s">
        <v>2590</v>
      </c>
      <c r="C211" s="12" t="s">
        <v>16</v>
      </c>
      <c r="D211" s="13" t="s">
        <v>3161</v>
      </c>
      <c r="E211" s="10" t="str">
        <f>IF(C211="","",IF(C211="Yes","Describe how data is encrypted in storage. (i.e. at-rest within the app)","Summarize why data is not encrypted in storage. (i.e. at-rest within the app)"))</f>
        <v>Describe how data is encrypted in storage. (i.e. at-rest within the app)</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333</v>
      </c>
      <c r="B212" s="30" t="s">
        <v>53</v>
      </c>
      <c r="C212" s="12" t="s">
        <v>19</v>
      </c>
      <c r="D212" s="13" t="s">
        <v>3162</v>
      </c>
      <c r="E212" s="10" t="str">
        <f>IF(C212="","",IF(C212="Yes","Summarize your system authentication capabilities.","State any plans to support these authentication systems."))</f>
        <v>State any plans to support these authentication systems.</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5" t="s">
        <v>334</v>
      </c>
      <c r="B213" s="30" t="s">
        <v>553</v>
      </c>
      <c r="C213" s="12"/>
      <c r="D213" s="13"/>
      <c r="E213" s="10" t="str">
        <f>IF(C213="","",IF(C213="Yes","Summarize any requirements for the Institution to take advantage of these capabilities.",""))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
      <c r="A214" s="15" t="s">
        <v>335</v>
      </c>
      <c r="B214" s="30" t="s">
        <v>2591</v>
      </c>
      <c r="C214" s="12" t="s">
        <v>16</v>
      </c>
      <c r="D214" s="13" t="s">
        <v>3163</v>
      </c>
      <c r="E214" s="10" t="str">
        <f>IF(C214="","",IF(C214="Yes","Summarize your secure coding practices.","State plans to update your application to adhere to industry secure coding practices."))</f>
        <v>Summarize your secure coding practices.</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336</v>
      </c>
      <c r="B215" s="30" t="s">
        <v>54</v>
      </c>
      <c r="C215" s="12" t="s">
        <v>19</v>
      </c>
      <c r="D215" s="13" t="s">
        <v>3164</v>
      </c>
      <c r="E215" s="10" t="str">
        <f>IF(C215="","",IF(C215="Yes","State the party that performed the test and the date it was conducted. Provide test results and mitigation plans, if any.","Describe any plans to implement mobile application vulnerability testing."))</f>
        <v>Describe any plans to implement mobile application vulnerability testing.</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30" t="s">
        <v>554</v>
      </c>
      <c r="B216" s="30" t="s">
        <v>2624</v>
      </c>
      <c r="C216" s="301"/>
      <c r="D216" s="301"/>
      <c r="E216" s="10" t="s">
        <v>2618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36" customHeight="1" x14ac:dyDescent="0.2">
      <c r="A217" s="304" t="str">
        <f>IF($C$30="","Physical Security",IF($C$30="Yes","Physical Security - Optional based on QUALIFIER response.","Physical Security"))</f>
        <v>Physical Security</v>
      </c>
      <c r="B217" s="304"/>
      <c r="C217" s="25" t="s">
        <v>12</v>
      </c>
      <c r="D217" s="25" t="s">
        <v>13</v>
      </c>
      <c r="E217" s="7" t="s">
        <v>14</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7" customHeight="1" x14ac:dyDescent="0.2">
      <c r="A218" s="15" t="s">
        <v>337</v>
      </c>
      <c r="B218" s="30" t="s">
        <v>2647</v>
      </c>
      <c r="C218" s="12" t="s">
        <v>16</v>
      </c>
      <c r="D218" s="33" t="s">
        <v>3130</v>
      </c>
      <c r="E218" s="201" t="str">
        <f>IF(C218="","",IF(C218="Yes","Provide a copy of your physical security controls and policies along with this document (link or attached).","Describe your intent to implement physical security controls and policies."))</f>
        <v>Provide a copy of your physical security controls and policies along with this document (link or attached).</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5" x14ac:dyDescent="0.2">
      <c r="A219" s="15" t="s">
        <v>338</v>
      </c>
      <c r="B219" s="30" t="s">
        <v>555</v>
      </c>
      <c r="C219" s="12" t="s">
        <v>16</v>
      </c>
      <c r="D219" s="13" t="s">
        <v>3166</v>
      </c>
      <c r="E219" s="10" t="str">
        <f>IF(C219="","",IF(C219="Yes","Provide a detailed summary outlining the security controls implemented to protect the Institution's data.",""))</f>
        <v>Provide a detailed summary outlining the security controls implemented to protect the Institution's data.</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5" t="s">
        <v>339</v>
      </c>
      <c r="B220" s="30" t="s">
        <v>157</v>
      </c>
      <c r="C220" s="12" t="s">
        <v>16</v>
      </c>
      <c r="D220" s="13" t="s">
        <v>3145</v>
      </c>
      <c r="E220" s="10" t="str">
        <f>IF(C220="","",IF(C220="Yes","State the retention period for security video.","State your plans to retain video monitoring feeds."))</f>
        <v>State the retention period for security video.</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340</v>
      </c>
      <c r="B221" s="30" t="s">
        <v>2592</v>
      </c>
      <c r="C221" s="12" t="s">
        <v>16</v>
      </c>
      <c r="D221" s="13" t="s">
        <v>3145</v>
      </c>
      <c r="E221" s="10" t="str">
        <f>IF(C221="","",IF(C221="Yes","Summarize your video monitoring strategy for datacenter staff.","Describe plans to have video feed(s) monitored."))</f>
        <v>Summarize your video monitoring strategy for datacenter staff.</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
      <c r="A222" s="15" t="s">
        <v>341</v>
      </c>
      <c r="B222" s="30" t="s">
        <v>36</v>
      </c>
      <c r="C222" s="12" t="s">
        <v>16</v>
      </c>
      <c r="D222" s="13" t="s">
        <v>3145</v>
      </c>
      <c r="E222" s="10" t="str">
        <f>IF(C222="","",IF(C222="Yes","Summarize your process and procedure for the installation and removal of equipment to/from your environment.","Provide a brief summary for your response."))</f>
        <v>Summarize your process and procedure for the installation and removal of equipment to/from your environment.</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304" t="str">
        <f>IF($C$30="","Policies, Procedures, and Processes",IF($C$30="Yes","Pol/Pro/Proc - Optional based on QUALIFIER response.","Policies, Procedures, and Processes"))</f>
        <v>Policies, Procedures, and Processes</v>
      </c>
      <c r="B223" s="304"/>
      <c r="C223" s="25" t="s">
        <v>12</v>
      </c>
      <c r="D223" s="25" t="s">
        <v>13</v>
      </c>
      <c r="E223" s="7" t="s">
        <v>14</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83" customHeight="1" x14ac:dyDescent="0.2">
      <c r="A224" s="68" t="s">
        <v>342</v>
      </c>
      <c r="B224" s="30" t="s">
        <v>2648</v>
      </c>
      <c r="C224" s="12" t="s">
        <v>19</v>
      </c>
      <c r="D224" s="276" t="s">
        <v>3165</v>
      </c>
      <c r="E224" s="201" t="str">
        <f>IF(C224="","",IF(C224="Yes","Provide a links to these documents in Additional Information or attach them with your submission. Include the responsible party for your information security program and the size of your security staff.","Provide a brief summary for this response."))</f>
        <v>Provide a brief summary for this response.</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5" t="s">
        <v>343</v>
      </c>
      <c r="B225" s="30" t="s">
        <v>37</v>
      </c>
      <c r="C225" s="12" t="s">
        <v>16</v>
      </c>
      <c r="D225" s="13" t="s">
        <v>3130</v>
      </c>
      <c r="E225" s="10" t="str">
        <f>IF(C225="","",IF(C225="Yes","Summarize your documented patch management process.","State plans to document your patch management process."))</f>
        <v>Summarize your documented patch management process.</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5" t="s">
        <v>344</v>
      </c>
      <c r="B226" s="30" t="s">
        <v>38</v>
      </c>
      <c r="C226" s="12" t="s">
        <v>16</v>
      </c>
      <c r="D226" s="13" t="s">
        <v>3199</v>
      </c>
      <c r="E226" s="10" t="str">
        <f>IF(C226="","",IF(C226="Yes","Summarize any limitations to your accomodation capabilities.","State why you are unable to accommodate encryption requirements using open standards."))</f>
        <v>Summarize any limitations to your accomodation capabilities.</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30" x14ac:dyDescent="0.2">
      <c r="A227" s="15" t="s">
        <v>345</v>
      </c>
      <c r="B227" s="30" t="s">
        <v>39</v>
      </c>
      <c r="C227" s="12" t="s">
        <v>16</v>
      </c>
      <c r="D227" s="13" t="s">
        <v>3190</v>
      </c>
      <c r="E227" s="10" t="str">
        <f>IF(C227="","",IF(C227="Yes","Provide a brief description of the training provided.","State any scheduled training sessions focused on secure coding techniques."))</f>
        <v>Provide a brief description of the training provided.</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5" t="s">
        <v>346</v>
      </c>
      <c r="B228" s="30" t="s">
        <v>40</v>
      </c>
      <c r="C228" s="12" t="s">
        <v>16</v>
      </c>
      <c r="D228" s="13" t="s">
        <v>3190</v>
      </c>
      <c r="E228" s="10" t="str">
        <f>IF(C228="","",IF(C228="Yes","Describe the secure coding techniques used to develop your application.","State plans to update your application code using secure coding techniques."))</f>
        <v>Describe the secure coding techniques used to develop your application.</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347</v>
      </c>
      <c r="B229" s="30" t="s">
        <v>2599</v>
      </c>
      <c r="C229" s="12" t="s">
        <v>16</v>
      </c>
      <c r="D229" s="13" t="s">
        <v>3184</v>
      </c>
      <c r="E229" s="10" t="str">
        <f>IF(C229="","",IF(C229="Yes","Provide a list of all tools utilized during static code analysis or static application security testing.","State your plans to implement static code testing practices into your environment."))</f>
        <v>Provide a list of all tools utilized during static code analysis or static application security testing.</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84" customHeight="1" x14ac:dyDescent="0.2">
      <c r="A230" s="15" t="s">
        <v>348</v>
      </c>
      <c r="B230" s="30" t="s">
        <v>2600</v>
      </c>
      <c r="C230" s="12" t="s">
        <v>16</v>
      </c>
      <c r="D230" s="13" t="s">
        <v>3200</v>
      </c>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Describe testing processes, including but not limited to, development of test plans, personnel involved in the testing process, and authorized individual accountable for approval and certification of test results.</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5" t="s">
        <v>349</v>
      </c>
      <c r="B231" s="30" t="s">
        <v>41</v>
      </c>
      <c r="C231" s="12" t="s">
        <v>16</v>
      </c>
      <c r="D231" s="13" t="s">
        <v>3190</v>
      </c>
      <c r="E231" s="10" t="str">
        <f>IF(C231="","",IF(C231="Yes","Summarize the information security principles designed into the product lifecycle.","Describe why security principles are not designed into the product lifecycle."))</f>
        <v>Summarize the information security principles designed into the product lifecycle.</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96" customHeight="1" x14ac:dyDescent="0.2">
      <c r="A232" s="15" t="s">
        <v>350</v>
      </c>
      <c r="B232" s="30" t="s">
        <v>42</v>
      </c>
      <c r="C232" s="12" t="s">
        <v>19</v>
      </c>
      <c r="D232" s="13" t="s">
        <v>3201</v>
      </c>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Describe any plans to implement a documented SDLC.</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
      <c r="A233" s="15" t="s">
        <v>351</v>
      </c>
      <c r="B233" s="30" t="s">
        <v>43</v>
      </c>
      <c r="C233" s="12" t="s">
        <v>16</v>
      </c>
      <c r="D233" s="13" t="s">
        <v>3130</v>
      </c>
      <c r="E233" s="10" t="str">
        <f>IF(C233="","",IF(C233="Yes","Summarize your formal incident response plan.","State plans to formalize an incident response plan."))</f>
        <v>Summarize your formal incident response plan.</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5" t="s">
        <v>352</v>
      </c>
      <c r="B234" s="30" t="s">
        <v>2601</v>
      </c>
      <c r="C234" s="12" t="s">
        <v>16</v>
      </c>
      <c r="D234" s="13" t="s">
        <v>3130</v>
      </c>
      <c r="E234" s="10" t="str">
        <f>IF(C234="","",IF(C234="Yes","State how quickly the Institution will be notified of a data breach or security incident.","Summarize why you will not comple with applicable breach notification laws."))</f>
        <v>State how quickly the Institution will be notified of a data breach or security incident.</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353</v>
      </c>
      <c r="B235" s="30" t="s">
        <v>556</v>
      </c>
      <c r="C235" s="12" t="s">
        <v>16</v>
      </c>
      <c r="D235" s="13" t="s">
        <v>3167</v>
      </c>
      <c r="E235" s="10" t="str">
        <f>IF(C235="","",IF(C235="Yes","State that you have reviewed the Institution's IT policies with regards to user privacy and data protection.","Summarize why you will not comply with the Institution's IT policy with regards to user privacy and data protection."))</f>
        <v>State that you have reviewed the Institution's IT policies with regards to user privacy and data protection.</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354</v>
      </c>
      <c r="B236" s="30" t="s">
        <v>2631</v>
      </c>
      <c r="C236" s="12" t="s">
        <v>16</v>
      </c>
      <c r="D236" s="13"/>
      <c r="E236" s="10" t="str">
        <f>IF(C236="","",IF(C236="Yes","","State the country that governs and regulates your company."))</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355</v>
      </c>
      <c r="B237" s="30" t="s">
        <v>474</v>
      </c>
      <c r="C237" s="12" t="s">
        <v>16</v>
      </c>
      <c r="D237" s="13" t="s">
        <v>3168</v>
      </c>
      <c r="E237" s="10" t="str">
        <f>IF(C237="","",IF(C237="Yes","Summarize your background check practices.","State plans to implement background check elements into your hiring process."))</f>
        <v>Summarize your background check practices.</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 customHeight="1" x14ac:dyDescent="0.2">
      <c r="A238" s="15" t="s">
        <v>356</v>
      </c>
      <c r="B238" s="30" t="s">
        <v>44</v>
      </c>
      <c r="C238" s="12" t="s">
        <v>16</v>
      </c>
      <c r="D238" s="13" t="s">
        <v>3169</v>
      </c>
      <c r="E238" s="10" t="str">
        <f>IF(C238="","",IF(C238="Yes","Summarize the required agreements and reviewed policies.","Summarize why new employees are not required to accept agreements or review policy."))</f>
        <v>Summarize the required agreements and reviewed policies.</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
      <c r="A239" s="15" t="s">
        <v>357</v>
      </c>
      <c r="B239" s="30" t="s">
        <v>2602</v>
      </c>
      <c r="C239" s="12" t="s">
        <v>16</v>
      </c>
      <c r="D239" s="13" t="s">
        <v>3130</v>
      </c>
      <c r="E239" s="10" t="str">
        <f>IF(C239="","",IF(C239="Yes","Provide a reference to your information security policy or submit documentation with this fully-populated HECVAT.","State plans to implement information security policy at your company."))</f>
        <v>Provide a reference to your information security policy or submit documentation with this fully-populated HECVAT.</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358</v>
      </c>
      <c r="B240" s="30" t="s">
        <v>45</v>
      </c>
      <c r="C240" s="12" t="s">
        <v>16</v>
      </c>
      <c r="D240" s="13" t="s">
        <v>3170</v>
      </c>
      <c r="E240" s="10" t="str">
        <f>IF(C240="","",IF(C240="Yes","Summarize your information security awareness program.","State plans to implement an information security awareness program."))</f>
        <v>Summarize your information security awareness program.</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4.25" customHeight="1" x14ac:dyDescent="0.2">
      <c r="A241" s="15" t="s">
        <v>359</v>
      </c>
      <c r="B241" s="30" t="s">
        <v>2603</v>
      </c>
      <c r="C241" s="12" t="s">
        <v>16</v>
      </c>
      <c r="D241" s="13" t="s">
        <v>3171</v>
      </c>
      <c r="E241" s="10" t="str">
        <f>IF(C241="","",IF(C241="Yes","Summarize your security awareness training content and state how frequently employees are required to undergo security awareness training.","State plans to make security awareness training mandatory for all employees."))</f>
        <v>Summarize your security awareness training content and state how frequently employees are required to undergo security awareness training.</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48" customHeight="1" x14ac:dyDescent="0.2">
      <c r="A242" s="15" t="s">
        <v>360</v>
      </c>
      <c r="B242" s="30" t="s">
        <v>2604</v>
      </c>
      <c r="C242" s="12" t="s">
        <v>16</v>
      </c>
      <c r="D242" s="13" t="s">
        <v>3172</v>
      </c>
      <c r="E242" s="10" t="str">
        <f>IF(C242="","",IF(C242="Yes","Provide a brief summary and the implement review interval.","Describe plans to implement privileged account access-list reviews to your environment."))</f>
        <v>Provide a brief summary and the implement review interval.</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4.25" customHeight="1" x14ac:dyDescent="0.2">
      <c r="A243" s="15" t="s">
        <v>361</v>
      </c>
      <c r="B243" s="30" t="s">
        <v>2605</v>
      </c>
      <c r="C243" s="12" t="s">
        <v>16</v>
      </c>
      <c r="D243" s="13" t="s">
        <v>3173</v>
      </c>
      <c r="E243" s="10" t="str">
        <f>IF(C243="","",IF(C243="Yes","Summarize your internal audit processes and procedures.","State plans to document and implement internal audit process and procedure in your environment."))</f>
        <v>Summarize your internal audit processes and procedures.</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36" customHeight="1" x14ac:dyDescent="0.2">
      <c r="A244" s="304" t="str">
        <f>IF($C$30="","Product Evaluation",IF($C$30="Yes","Product Evaluation - Optional based on QUALIFIER response.","Product Evaluation"))</f>
        <v>Product Evaluation</v>
      </c>
      <c r="B244" s="304"/>
      <c r="C244" s="25" t="s">
        <v>12</v>
      </c>
      <c r="D244" s="25" t="s">
        <v>13</v>
      </c>
      <c r="E244" s="7" t="s">
        <v>14</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5" t="s">
        <v>362</v>
      </c>
      <c r="B245" s="30" t="s">
        <v>46</v>
      </c>
      <c r="C245" s="12" t="s">
        <v>16</v>
      </c>
      <c r="D245" s="13" t="s">
        <v>3174</v>
      </c>
      <c r="E245" s="10" t="str">
        <f>IF(C245="","",IF(C245="Yes","Provide a reference to your customer feedback procedures.","State any plans to incorporate customer feedback into security feature requests."))</f>
        <v>Provide a reference to your customer feedback procedures.</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363</v>
      </c>
      <c r="B246" s="30" t="s">
        <v>526</v>
      </c>
      <c r="C246" s="12" t="s">
        <v>16</v>
      </c>
      <c r="D246" s="13" t="s">
        <v>3175</v>
      </c>
      <c r="E246" s="10" t="str">
        <f>IF(C246="","",IF(C246="Yes","Summarize the scope of your evaluation site(s) and request procedures. Provide references, as needed.","State why an evaluation site cannot be provided to the Institution."))</f>
        <v>Summarize the scope of your evaluation site(s) and request procedures. Provide references, as needed.</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36" customHeight="1" x14ac:dyDescent="0.2">
      <c r="A247" s="304" t="str">
        <f>IF($C$30="","Quality Assurance",IF($C$30="Yes","Quality Assurance - Optional based on QUALIFIER response.","Quality Assurance"))</f>
        <v>Quality Assurance</v>
      </c>
      <c r="B247" s="304"/>
      <c r="C247" s="25" t="s">
        <v>12</v>
      </c>
      <c r="D247" s="25" t="s">
        <v>13</v>
      </c>
      <c r="E247" s="7" t="s">
        <v>14</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61" customHeight="1" x14ac:dyDescent="0.2">
      <c r="A248" s="15" t="s">
        <v>364</v>
      </c>
      <c r="B248" s="30" t="s">
        <v>156</v>
      </c>
      <c r="C248" s="301" t="s">
        <v>3176</v>
      </c>
      <c r="D248" s="301"/>
      <c r="E248" s="10" t="s">
        <v>2593</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5" t="s">
        <v>365</v>
      </c>
      <c r="B249" s="30" t="s">
        <v>148</v>
      </c>
      <c r="C249" s="12" t="s">
        <v>19</v>
      </c>
      <c r="D249" s="13" t="s">
        <v>3177</v>
      </c>
      <c r="E249" s="10" t="str">
        <f>IF(C249="","",IF(C249="Yes","If certified, provide supporting documentation.","Describe plans and/or efforts towards certification."))</f>
        <v>Describe plans and/or efforts towards certification.</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53" customHeight="1" x14ac:dyDescent="0.2">
      <c r="A250" s="15" t="s">
        <v>366</v>
      </c>
      <c r="B250" s="30" t="s">
        <v>149</v>
      </c>
      <c r="C250" s="12" t="s">
        <v>16</v>
      </c>
      <c r="D250" s="13" t="s">
        <v>3180</v>
      </c>
      <c r="E250" s="10" t="str">
        <f>IF(C250="","",IF(C250="Yes","Provide references to quality and performance metrics documentation.","State plans to provide quality and performance metrics for this service."))</f>
        <v>Provide references to quality and performance metrics documentation.</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 customHeight="1" x14ac:dyDescent="0.2">
      <c r="A251" s="15" t="s">
        <v>367</v>
      </c>
      <c r="B251" s="30" t="s">
        <v>527</v>
      </c>
      <c r="C251" s="12" t="s">
        <v>19</v>
      </c>
      <c r="D251" s="13" t="s">
        <v>3178</v>
      </c>
      <c r="E251" s="10" t="str">
        <f>IF(C251="","",IF(C251="Yes","Provide the Institution's contact, describe the products and/or services offered, and the total value of the services provided.",""))</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5" t="s">
        <v>368</v>
      </c>
      <c r="B252" s="30" t="s">
        <v>150</v>
      </c>
      <c r="C252" s="12" t="s">
        <v>19</v>
      </c>
      <c r="D252" s="13" t="s">
        <v>3179</v>
      </c>
      <c r="E252" s="10" t="str">
        <f>IF(C252="","",IF(C252="Yes","Summarize your informational program.","Describe plans to implement this informational program."))</f>
        <v>Describe plans to implement this informational program.</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36" customHeight="1" x14ac:dyDescent="0.2">
      <c r="A253" s="304" t="str">
        <f>IF($C$30="","Systems Management &amp; Configuration",IF($C$30="Yes","System Mgmt/Config - Optional based on QUALIFIER response.","Systems Management &amp; Configuration"))</f>
        <v>Systems Management &amp; Configuration</v>
      </c>
      <c r="B253" s="304"/>
      <c r="C253" s="25" t="s">
        <v>12</v>
      </c>
      <c r="D253" s="25" t="s">
        <v>13</v>
      </c>
      <c r="E253" s="7" t="s">
        <v>14</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9.25" customHeight="1" x14ac:dyDescent="0.2">
      <c r="A254" s="15" t="s">
        <v>369</v>
      </c>
      <c r="B254" s="30" t="s">
        <v>160</v>
      </c>
      <c r="C254" s="12" t="s">
        <v>19</v>
      </c>
      <c r="D254" s="13" t="s">
        <v>3182</v>
      </c>
      <c r="E254" s="10" t="str">
        <f>IF(C254="","",IF(C254="Yes","Summarize how this is implemented in your environment.","Describe any implemented compensating controls."))</f>
        <v>Describe any implemented compensating controls.</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60" x14ac:dyDescent="0.2">
      <c r="A255" s="15" t="s">
        <v>370</v>
      </c>
      <c r="B255" s="30" t="s">
        <v>557</v>
      </c>
      <c r="C255" s="12" t="s">
        <v>19</v>
      </c>
      <c r="D255" s="13" t="s">
        <v>3183</v>
      </c>
      <c r="E255" s="10" t="str">
        <f>IF(C255="","",IF(C255="Yes","Summarize your implemented system configuration management precess.","Describe how system configuration management is currently handled in your environment."))</f>
        <v>Describe how system configuration management is currently handled in your environment.</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5" t="s">
        <v>371</v>
      </c>
      <c r="B256" s="30" t="s">
        <v>161</v>
      </c>
      <c r="C256" s="12" t="s">
        <v>19</v>
      </c>
      <c r="D256" s="13" t="s">
        <v>3181</v>
      </c>
      <c r="E256" s="10" t="str">
        <f>IF(C256="","",IF(C256="Yes","Summarize your on-site MDM capabilities.","State any plans to implement a MDM platform in your environment."))</f>
        <v>State any plans to implement a MDM platform in your environment.</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64.25" customHeight="1" x14ac:dyDescent="0.2">
      <c r="A257" s="15" t="s">
        <v>372</v>
      </c>
      <c r="B257" s="30" t="s">
        <v>2649</v>
      </c>
      <c r="C257" s="12" t="s">
        <v>16</v>
      </c>
      <c r="D257" s="33" t="s">
        <v>3130</v>
      </c>
      <c r="E257" s="201" t="str">
        <f>IF(C257="","",IF(C257="Yes","Summarize your systems management and configuration strategy.","Describe your intent to implement a systems management and configuration strategy."))</f>
        <v>Summarize your systems management and configuration strategy.</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36" customHeight="1" x14ac:dyDescent="0.2">
      <c r="A258" s="304" t="str">
        <f>IF($C$30="","Vulnerability Scanning",IF($C$30="Yes","Vulnerability Scanning - Optional based on QUALIFIER response.","Vulnerability Scanning"))</f>
        <v>Vulnerability Scanning</v>
      </c>
      <c r="B258" s="304"/>
      <c r="C258" s="25" t="s">
        <v>12</v>
      </c>
      <c r="D258" s="25" t="s">
        <v>13</v>
      </c>
      <c r="E258" s="7" t="s">
        <v>14</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5" t="s">
        <v>373</v>
      </c>
      <c r="B259" s="30" t="s">
        <v>47</v>
      </c>
      <c r="C259" s="12" t="s">
        <v>19</v>
      </c>
      <c r="D259" s="13" t="s">
        <v>3189</v>
      </c>
      <c r="E259" s="10" t="str">
        <f>IF(C259="","",IF(C259="Yes","Decribe your external application vulnerability scanning strategy.","Describe any plans to implement external vulnerability scanning for your applications."))</f>
        <v>Describe any plans to implement external vulnerability scanning for your applications.</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374</v>
      </c>
      <c r="B260" s="30" t="s">
        <v>2625</v>
      </c>
      <c r="C260" s="12"/>
      <c r="D260" s="13"/>
      <c r="E260" s="10" t="str">
        <f>IF(C260="","",IF(C260="Yes","State the date of your most recent application external assessment.","Describe any plans to have application external assessment(s) performed on your systems."))</f>
        <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65" customHeight="1" x14ac:dyDescent="0.2">
      <c r="A261" s="15" t="s">
        <v>375</v>
      </c>
      <c r="B261" s="30" t="s">
        <v>48</v>
      </c>
      <c r="C261" s="12" t="s">
        <v>16</v>
      </c>
      <c r="D261" s="13" t="s">
        <v>3184</v>
      </c>
      <c r="E261" s="10" t="str">
        <f>IF(C261="","",IF(C261="Yes","Summarize your vulnerability scanning strategy.","Describe plans to implement application vulnerability scanning prior to release."))</f>
        <v>Summarize your vulnerability scanning strategy.</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9.25" customHeight="1" x14ac:dyDescent="0.2">
      <c r="A262" s="15" t="s">
        <v>376</v>
      </c>
      <c r="B262" s="30" t="s">
        <v>49</v>
      </c>
      <c r="C262" s="12" t="s">
        <v>19</v>
      </c>
      <c r="D262" s="13" t="s">
        <v>3189</v>
      </c>
      <c r="E262" s="10" t="str">
        <f>IF(C262="","",IF(C262="Yes","Decribe your external system vulnerability scanning strategy.","Describe any plans to implement external vulnerability scanning for your systems."))</f>
        <v>Describe any plans to implement external vulnerability scanning for your systems.</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5" t="s">
        <v>377</v>
      </c>
      <c r="B263" s="30" t="s">
        <v>2626</v>
      </c>
      <c r="C263" s="12" t="s">
        <v>19</v>
      </c>
      <c r="D263" s="13"/>
      <c r="E263" s="10" t="str">
        <f>IF(C263="","",IF(C263="Yes","State the date of your most recent system external assessment.","Describe any plans to have system external assessment(s) performed on your systems."))</f>
        <v>Describe any plans to have system external assessment(s) performed on your systems.</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 customHeight="1" x14ac:dyDescent="0.2">
      <c r="A264" s="15" t="s">
        <v>378</v>
      </c>
      <c r="B264" s="30" t="s">
        <v>447</v>
      </c>
      <c r="C264" s="301" t="s">
        <v>3188</v>
      </c>
      <c r="D264" s="301"/>
      <c r="E264" s="10" t="s">
        <v>2594</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5" t="s">
        <v>379</v>
      </c>
      <c r="B265" s="30" t="s">
        <v>2596</v>
      </c>
      <c r="C265" s="12" t="s">
        <v>16</v>
      </c>
      <c r="D265" s="13" t="s">
        <v>3185</v>
      </c>
      <c r="E265" s="10" t="str">
        <f>IF(C265="","",IF(C265="Yes","Provide a reference to security scan documentation.","Describe why security scan results will not be provided to the Institution."))</f>
        <v>Provide a reference to security scan documentation.</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65" customHeight="1" x14ac:dyDescent="0.2">
      <c r="A266" s="15" t="s">
        <v>380</v>
      </c>
      <c r="B266" s="30" t="s">
        <v>448</v>
      </c>
      <c r="C266" s="301" t="s">
        <v>3186</v>
      </c>
      <c r="D266" s="301"/>
      <c r="E266" s="10" t="s">
        <v>2595</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54" customHeight="1" x14ac:dyDescent="0.2">
      <c r="A267" s="15" t="s">
        <v>381</v>
      </c>
      <c r="B267" s="30" t="s">
        <v>528</v>
      </c>
      <c r="C267" s="12" t="s">
        <v>16</v>
      </c>
      <c r="D267" s="13" t="s">
        <v>3187</v>
      </c>
      <c r="E267" s="10" t="str">
        <f>IF(C267="","",IF(C267="Yes","Provide reference to the process or procedure to setup security testing times and scopes.","Provide a brief summary for your response."))</f>
        <v>Provide reference to the process or procedure to setup security testing times and scopes.</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36" customHeight="1" x14ac:dyDescent="0.2">
      <c r="A268" s="304" t="str">
        <f>IF(OR($C$24="No",$C$30="Yes"),"HIPAA - Optional based on QUALIFIER response.","HIPAA")</f>
        <v>HIPAA - Optional based on QUALIFIER response.</v>
      </c>
      <c r="B268" s="304"/>
      <c r="C268" s="25" t="s">
        <v>12</v>
      </c>
      <c r="D268" s="25" t="s">
        <v>13</v>
      </c>
      <c r="E268" s="7" t="s">
        <v>14</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65" customHeight="1" x14ac:dyDescent="0.2">
      <c r="A269" s="15" t="s">
        <v>382</v>
      </c>
      <c r="B269" s="30" t="s">
        <v>132</v>
      </c>
      <c r="C269" s="12"/>
      <c r="D269" s="13"/>
      <c r="E269" s="10" t="s">
        <v>2597</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5" t="s">
        <v>383</v>
      </c>
      <c r="B270" s="30" t="s">
        <v>133</v>
      </c>
      <c r="C270" s="12"/>
      <c r="D270" s="13"/>
      <c r="E270" s="10" t="s">
        <v>2597</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384</v>
      </c>
      <c r="B271" s="30" t="s">
        <v>134</v>
      </c>
      <c r="C271" s="12"/>
      <c r="D271" s="13"/>
      <c r="E271" s="10" t="s">
        <v>2597</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385</v>
      </c>
      <c r="B272" s="30" t="s">
        <v>135</v>
      </c>
      <c r="C272" s="12"/>
      <c r="D272" s="13"/>
      <c r="E272" s="10" t="s">
        <v>2597</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386</v>
      </c>
      <c r="B273" s="30" t="s">
        <v>136</v>
      </c>
      <c r="C273" s="12"/>
      <c r="D273" s="13"/>
      <c r="E273" s="10" t="s">
        <v>2597</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387</v>
      </c>
      <c r="B274" s="30" t="s">
        <v>137</v>
      </c>
      <c r="C274" s="12"/>
      <c r="D274" s="13"/>
      <c r="E274" s="10" t="s">
        <v>2597</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388</v>
      </c>
      <c r="B275" s="30" t="s">
        <v>138</v>
      </c>
      <c r="C275" s="12"/>
      <c r="D275" s="13"/>
      <c r="E275" s="10" t="s">
        <v>2597</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389</v>
      </c>
      <c r="B276" s="30" t="s">
        <v>139</v>
      </c>
      <c r="C276" s="12"/>
      <c r="D276" s="13"/>
      <c r="E276" s="10" t="s">
        <v>2597</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390</v>
      </c>
      <c r="B277" s="30" t="s">
        <v>140</v>
      </c>
      <c r="C277" s="12"/>
      <c r="D277" s="13"/>
      <c r="E277" s="10" t="s">
        <v>2597</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391</v>
      </c>
      <c r="B278" s="30" t="s">
        <v>55</v>
      </c>
      <c r="C278" s="12"/>
      <c r="D278" s="13"/>
      <c r="E278" s="10" t="s">
        <v>2597</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392</v>
      </c>
      <c r="B279" s="30" t="s">
        <v>56</v>
      </c>
      <c r="C279" s="12"/>
      <c r="D279" s="13"/>
      <c r="E279" s="10" t="s">
        <v>2597</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393</v>
      </c>
      <c r="B280" s="30" t="s">
        <v>57</v>
      </c>
      <c r="C280" s="12"/>
      <c r="D280" s="13"/>
      <c r="E280" s="10" t="s">
        <v>2597</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394</v>
      </c>
      <c r="B281" s="30" t="s">
        <v>58</v>
      </c>
      <c r="C281" s="12"/>
      <c r="D281" s="13"/>
      <c r="E281" s="10" t="s">
        <v>2597</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395</v>
      </c>
      <c r="B282" s="30" t="s">
        <v>59</v>
      </c>
      <c r="C282" s="12"/>
      <c r="D282" s="13"/>
      <c r="E282" s="10" t="s">
        <v>2597</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396</v>
      </c>
      <c r="B283" s="30" t="s">
        <v>529</v>
      </c>
      <c r="C283" s="12"/>
      <c r="D283" s="13"/>
      <c r="E283" s="10" t="s">
        <v>2597</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397</v>
      </c>
      <c r="B284" s="30" t="s">
        <v>60</v>
      </c>
      <c r="C284" s="12"/>
      <c r="D284" s="13"/>
      <c r="E284" s="10" t="s">
        <v>2597</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398</v>
      </c>
      <c r="B285" s="30" t="s">
        <v>509</v>
      </c>
      <c r="C285" s="12"/>
      <c r="D285" s="13"/>
      <c r="E285" s="10" t="s">
        <v>2597</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399</v>
      </c>
      <c r="B286" s="30" t="s">
        <v>61</v>
      </c>
      <c r="C286" s="12"/>
      <c r="D286" s="13"/>
      <c r="E286" s="10" t="s">
        <v>2597</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7" customHeight="1" x14ac:dyDescent="0.2">
      <c r="A287" s="15" t="s">
        <v>400</v>
      </c>
      <c r="B287" s="30" t="s">
        <v>62</v>
      </c>
      <c r="C287" s="12"/>
      <c r="D287" s="13"/>
      <c r="E287" s="10" t="s">
        <v>2597</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 customHeight="1" x14ac:dyDescent="0.2">
      <c r="A288" s="15" t="s">
        <v>401</v>
      </c>
      <c r="B288" s="30" t="s">
        <v>68</v>
      </c>
      <c r="C288" s="12"/>
      <c r="D288" s="13"/>
      <c r="E288" s="10" t="s">
        <v>2597</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8" customHeight="1" x14ac:dyDescent="0.2">
      <c r="A289" s="15" t="s">
        <v>402</v>
      </c>
      <c r="B289" s="30" t="s">
        <v>63</v>
      </c>
      <c r="C289" s="12"/>
      <c r="D289" s="13"/>
      <c r="E289" s="10" t="s">
        <v>2597</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65" customHeight="1" x14ac:dyDescent="0.2">
      <c r="A290" s="15" t="s">
        <v>403</v>
      </c>
      <c r="B290" s="30" t="s">
        <v>64</v>
      </c>
      <c r="C290" s="12"/>
      <c r="D290" s="13"/>
      <c r="E290" s="10" t="s">
        <v>2597</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48" customHeight="1" x14ac:dyDescent="0.2">
      <c r="A291" s="15" t="s">
        <v>404</v>
      </c>
      <c r="B291" s="30" t="s">
        <v>65</v>
      </c>
      <c r="C291" s="301"/>
      <c r="D291" s="301"/>
      <c r="E291" s="10" t="s">
        <v>2597</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405</v>
      </c>
      <c r="B292" s="30" t="s">
        <v>66</v>
      </c>
      <c r="C292" s="12"/>
      <c r="D292" s="13"/>
      <c r="E292" s="10" t="s">
        <v>2597</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406</v>
      </c>
      <c r="B293" s="30" t="s">
        <v>67</v>
      </c>
      <c r="C293" s="12"/>
      <c r="D293" s="13"/>
      <c r="E293" s="10" t="s">
        <v>2597</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407</v>
      </c>
      <c r="B294" s="30" t="s">
        <v>141</v>
      </c>
      <c r="C294" s="12"/>
      <c r="D294" s="13"/>
      <c r="E294" s="10" t="s">
        <v>2597</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408</v>
      </c>
      <c r="B295" s="30" t="s">
        <v>142</v>
      </c>
      <c r="C295" s="12"/>
      <c r="D295" s="13"/>
      <c r="E295" s="10" t="s">
        <v>2597</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409</v>
      </c>
      <c r="B296" s="30" t="s">
        <v>143</v>
      </c>
      <c r="C296" s="12"/>
      <c r="D296" s="13"/>
      <c r="E296" s="10" t="s">
        <v>2597</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410</v>
      </c>
      <c r="B297" s="30" t="s">
        <v>69</v>
      </c>
      <c r="C297" s="12"/>
      <c r="D297" s="13"/>
      <c r="E297" s="10" t="s">
        <v>2597</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411</v>
      </c>
      <c r="B298" s="30" t="s">
        <v>144</v>
      </c>
      <c r="C298" s="12"/>
      <c r="D298" s="13"/>
      <c r="E298" s="10" t="s">
        <v>2597</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7" customHeight="1" x14ac:dyDescent="0.2">
      <c r="A299" s="15" t="s">
        <v>412</v>
      </c>
      <c r="B299" s="30" t="s">
        <v>475</v>
      </c>
      <c r="C299" s="12"/>
      <c r="D299" s="13"/>
      <c r="E299" s="10" t="s">
        <v>2597</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36" customHeight="1" x14ac:dyDescent="0.2">
      <c r="A300" s="304" t="str">
        <f>IF(OR($C$29="No",$C$30="Yes"),"PCI DSS - Optional based on QUALIFIER response.","PCI DSS")</f>
        <v>PCI DSS - Optional based on QUALIFIER response.</v>
      </c>
      <c r="B300" s="304"/>
      <c r="C300" s="25" t="s">
        <v>12</v>
      </c>
      <c r="D300" s="25" t="s">
        <v>13</v>
      </c>
      <c r="E300" s="7" t="s">
        <v>14</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48" customHeight="1" x14ac:dyDescent="0.2">
      <c r="A301" s="15" t="s">
        <v>413</v>
      </c>
      <c r="B301" s="30" t="s">
        <v>2609</v>
      </c>
      <c r="C301" s="12"/>
      <c r="D301" s="13"/>
      <c r="E301" s="10" t="s">
        <v>2598</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414</v>
      </c>
      <c r="B302" s="30" t="s">
        <v>70</v>
      </c>
      <c r="C302" s="12"/>
      <c r="D302" s="13"/>
      <c r="E302" s="10" t="s">
        <v>2598</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415</v>
      </c>
      <c r="B303" s="30" t="s">
        <v>71</v>
      </c>
      <c r="C303" s="12"/>
      <c r="D303" s="13"/>
      <c r="E303" s="10" t="s">
        <v>2598</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416</v>
      </c>
      <c r="B304" s="30" t="s">
        <v>72</v>
      </c>
      <c r="C304" s="12"/>
      <c r="D304" s="13"/>
      <c r="E304" s="10" t="s">
        <v>2598</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417</v>
      </c>
      <c r="B305" s="30" t="s">
        <v>73</v>
      </c>
      <c r="C305" s="12"/>
      <c r="D305" s="13"/>
      <c r="E305" s="10" t="s">
        <v>2598</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418</v>
      </c>
      <c r="B306" s="30" t="s">
        <v>74</v>
      </c>
      <c r="C306" s="12"/>
      <c r="D306" s="13"/>
      <c r="E306" s="10" t="s">
        <v>2598</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64.25" customHeight="1" x14ac:dyDescent="0.2">
      <c r="A307" s="15" t="s">
        <v>419</v>
      </c>
      <c r="B307" s="30" t="s">
        <v>75</v>
      </c>
      <c r="C307" s="301"/>
      <c r="D307" s="301"/>
      <c r="E307" s="10" t="s">
        <v>2598</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25" customHeight="1" x14ac:dyDescent="0.2">
      <c r="A308" s="15" t="s">
        <v>420</v>
      </c>
      <c r="B308" s="30" t="s">
        <v>76</v>
      </c>
      <c r="C308" s="301"/>
      <c r="D308" s="301"/>
      <c r="E308" s="10" t="s">
        <v>2598</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48" customHeight="1" x14ac:dyDescent="0.2">
      <c r="A309" s="15" t="s">
        <v>421</v>
      </c>
      <c r="B309" s="30" t="s">
        <v>77</v>
      </c>
      <c r="C309" s="12"/>
      <c r="D309" s="13"/>
      <c r="E309" s="10" t="s">
        <v>2598</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422</v>
      </c>
      <c r="B310" s="30" t="s">
        <v>78</v>
      </c>
      <c r="C310" s="12"/>
      <c r="D310" s="13"/>
      <c r="E310" s="10" t="s">
        <v>2598</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54" customHeight="1" x14ac:dyDescent="0.2">
      <c r="A311" s="15" t="s">
        <v>423</v>
      </c>
      <c r="B311" s="30" t="s">
        <v>2610</v>
      </c>
      <c r="C311" s="12"/>
      <c r="D311" s="13"/>
      <c r="E311" s="10" t="str">
        <f>IF(C311="","",IF(C311="Yes","State the providors name and provide a current copy of their AoC or RoC.","Refer to PCI DSS Security Standards for supplemental guidance in this section"))</f>
        <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64.25" customHeight="1" x14ac:dyDescent="0.2">
      <c r="A312" s="15" t="s">
        <v>424</v>
      </c>
      <c r="B312" s="30" t="s">
        <v>79</v>
      </c>
      <c r="C312" s="301"/>
      <c r="D312" s="301"/>
      <c r="E312" s="10" t="s">
        <v>2598</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sheetData>
  <mergeCells count="85">
    <mergeCell ref="C95:D95"/>
    <mergeCell ref="C96:D96"/>
    <mergeCell ref="C98:D98"/>
    <mergeCell ref="C115:D115"/>
    <mergeCell ref="C112:D112"/>
    <mergeCell ref="A247:B247"/>
    <mergeCell ref="A158:B158"/>
    <mergeCell ref="A178:B178"/>
    <mergeCell ref="A192:B192"/>
    <mergeCell ref="A205:B205"/>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C18:E18"/>
    <mergeCell ref="C12:E12"/>
    <mergeCell ref="C14:E14"/>
    <mergeCell ref="C13:E13"/>
    <mergeCell ref="C76:D76"/>
    <mergeCell ref="C78:D78"/>
    <mergeCell ref="A21:E21"/>
    <mergeCell ref="A22:B22"/>
    <mergeCell ref="A23:E23"/>
    <mergeCell ref="A31:B31"/>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116:D116"/>
    <mergeCell ref="C142:D142"/>
    <mergeCell ref="C140:D140"/>
    <mergeCell ref="C179:D179"/>
    <mergeCell ref="C176:D176"/>
    <mergeCell ref="C168:D168"/>
    <mergeCell ref="C307:D307"/>
    <mergeCell ref="C312:D312"/>
    <mergeCell ref="C291:D291"/>
    <mergeCell ref="C264:D264"/>
    <mergeCell ref="C266:D266"/>
    <mergeCell ref="C308:D308"/>
    <mergeCell ref="C203:D203"/>
    <mergeCell ref="C248:D248"/>
    <mergeCell ref="C206:D206"/>
    <mergeCell ref="C207:D207"/>
    <mergeCell ref="C216:D216"/>
  </mergeCells>
  <conditionalFormatting sqref="C205:E205 A205">
    <cfRule type="expression" dxfId="2693" priority="192">
      <formula>$C$25="No"</formula>
    </cfRule>
  </conditionalFormatting>
  <conditionalFormatting sqref="C268:E268 A268">
    <cfRule type="expression" dxfId="2692" priority="191">
      <formula>$C$24="No"</formula>
    </cfRule>
  </conditionalFormatting>
  <conditionalFormatting sqref="C46:E46 A46">
    <cfRule type="expression" dxfId="2691" priority="190">
      <formula>$C$26="No"</formula>
    </cfRule>
  </conditionalFormatting>
  <conditionalFormatting sqref="C178:E178 A178">
    <cfRule type="expression" dxfId="2690" priority="189">
      <formula>$C$28="No"</formula>
    </cfRule>
  </conditionalFormatting>
  <conditionalFormatting sqref="A163:E164">
    <cfRule type="expression" dxfId="2689" priority="143">
      <formula>$C$162="No"</formula>
    </cfRule>
  </conditionalFormatting>
  <conditionalFormatting sqref="A168:E168">
    <cfRule type="expression" dxfId="2688" priority="186">
      <formula>$C$167="No"</formula>
    </cfRule>
  </conditionalFormatting>
  <conditionalFormatting sqref="A164:E164">
    <cfRule type="expression" dxfId="2687" priority="142">
      <formula>$C$163="No"</formula>
    </cfRule>
  </conditionalFormatting>
  <conditionalFormatting sqref="A90:B90 D90:E90">
    <cfRule type="expression" dxfId="2686" priority="151">
      <formula>$C$89="No"</formula>
    </cfRule>
  </conditionalFormatting>
  <conditionalFormatting sqref="A92:B93 D92:E93">
    <cfRule type="expression" dxfId="2685" priority="181">
      <formula>$C$91="No"</formula>
    </cfRule>
  </conditionalFormatting>
  <conditionalFormatting sqref="A260:E260">
    <cfRule type="expression" dxfId="2684" priority="124">
      <formula>$C$259="No"</formula>
    </cfRule>
  </conditionalFormatting>
  <conditionalFormatting sqref="A263:E263">
    <cfRule type="expression" dxfId="2683" priority="125">
      <formula>$C$262="No"</formula>
    </cfRule>
  </conditionalFormatting>
  <conditionalFormatting sqref="A213:E213">
    <cfRule type="expression" dxfId="2682" priority="136">
      <formula>$C$212="No"</formula>
    </cfRule>
  </conditionalFormatting>
  <conditionalFormatting sqref="A216:E216">
    <cfRule type="expression" dxfId="2681" priority="137">
      <formula>$C$215="No"</formula>
    </cfRule>
  </conditionalFormatting>
  <conditionalFormatting sqref="C300:E300 A300">
    <cfRule type="expression" dxfId="2680" priority="176">
      <formula>$C$29="No"</formula>
    </cfRule>
  </conditionalFormatting>
  <conditionalFormatting sqref="A293:E293">
    <cfRule type="expression" dxfId="2679" priority="161">
      <formula>$C$292="No"</formula>
    </cfRule>
  </conditionalFormatting>
  <conditionalFormatting sqref="A241:E241">
    <cfRule type="expression" dxfId="2678" priority="133">
      <formula>$C$240="No"</formula>
    </cfRule>
  </conditionalFormatting>
  <conditionalFormatting sqref="A238">
    <cfRule type="expression" dxfId="2677" priority="132">
      <formula>#REF!="No"</formula>
    </cfRule>
  </conditionalFormatting>
  <conditionalFormatting sqref="D58">
    <cfRule type="expression" dxfId="2676" priority="172">
      <formula>$C$57="No"</formula>
    </cfRule>
  </conditionalFormatting>
  <conditionalFormatting sqref="A60:E60">
    <cfRule type="expression" dxfId="2675" priority="171">
      <formula>$C$59="No"</formula>
    </cfRule>
  </conditionalFormatting>
  <conditionalFormatting sqref="C51:E51 A51">
    <cfRule type="expression" dxfId="2674" priority="170">
      <formula>$C$30="No"</formula>
    </cfRule>
  </conditionalFormatting>
  <conditionalFormatting sqref="A138:E138">
    <cfRule type="expression" dxfId="2673" priority="146">
      <formula>$C$137="No"</formula>
    </cfRule>
  </conditionalFormatting>
  <conditionalFormatting sqref="A112:E112">
    <cfRule type="expression" dxfId="2672" priority="147">
      <formula>$C$111="No"</formula>
    </cfRule>
  </conditionalFormatting>
  <conditionalFormatting sqref="A203:E203">
    <cfRule type="expression" dxfId="2671" priority="138">
      <formula>$C$202="No"</formula>
    </cfRule>
  </conditionalFormatting>
  <conditionalFormatting sqref="A184:E184">
    <cfRule type="expression" dxfId="2670" priority="140">
      <formula>$C$183="No"</formula>
    </cfRule>
  </conditionalFormatting>
  <conditionalFormatting sqref="C97:E97 A97">
    <cfRule type="expression" dxfId="2669" priority="163">
      <formula>$C$27="No"</formula>
    </cfRule>
  </conditionalFormatting>
  <conditionalFormatting sqref="A276:B277 D276:D277">
    <cfRule type="expression" dxfId="2668" priority="122">
      <formula>$C$275="No"</formula>
    </cfRule>
  </conditionalFormatting>
  <conditionalFormatting sqref="A277:B277 D277">
    <cfRule type="expression" dxfId="2667" priority="123">
      <formula>$C$276="No"</formula>
    </cfRule>
  </conditionalFormatting>
  <conditionalFormatting sqref="B52:B57 B59:B60">
    <cfRule type="expression" dxfId="2666" priority="160">
      <formula>$C$30="No"</formula>
    </cfRule>
  </conditionalFormatting>
  <conditionalFormatting sqref="B47:B49">
    <cfRule type="expression" dxfId="2665" priority="159">
      <formula>$C$26="No"</formula>
    </cfRule>
  </conditionalFormatting>
  <conditionalFormatting sqref="B50">
    <cfRule type="expression" dxfId="2664" priority="156">
      <formula>$C$26="No"</formula>
    </cfRule>
  </conditionalFormatting>
  <conditionalFormatting sqref="A61:E61 A79:E79 A97:E97 A110:E110 A126:E126 A158:E158 A178:E178 A192:E192 A205:E205 A223:E223 A244:E244 A247:E247 A253:E253 A268:E268 A300:E300">
    <cfRule type="expression" dxfId="2663" priority="155">
      <formula>$C$30="Yes"</formula>
    </cfRule>
  </conditionalFormatting>
  <conditionalFormatting sqref="A155:E155">
    <cfRule type="expression" dxfId="2662" priority="154">
      <formula>$C$30="Yes"</formula>
    </cfRule>
  </conditionalFormatting>
  <conditionalFormatting sqref="A217:E217">
    <cfRule type="expression" dxfId="2661" priority="153">
      <formula>$C$30="Yes"</formula>
    </cfRule>
  </conditionalFormatting>
  <conditionalFormatting sqref="A258:E258">
    <cfRule type="expression" dxfId="2660" priority="152">
      <formula>$C$30="Yes"</formula>
    </cfRule>
  </conditionalFormatting>
  <conditionalFormatting sqref="B85:B94 B68:B71 B111:B112 B124:B125 B237:B243 B136:B154 B76:B78">
    <cfRule type="expression" dxfId="2659" priority="182">
      <formula>$C$30="Yes"</formula>
    </cfRule>
  </conditionalFormatting>
  <conditionalFormatting sqref="B80">
    <cfRule type="expression" dxfId="2658" priority="184">
      <formula>$C$30="Yes"</formula>
    </cfRule>
  </conditionalFormatting>
  <conditionalFormatting sqref="B84">
    <cfRule type="expression" dxfId="2657" priority="114">
      <formula>$C$30="Yes"</formula>
    </cfRule>
  </conditionalFormatting>
  <conditionalFormatting sqref="B114">
    <cfRule type="expression" dxfId="2656" priority="167">
      <formula>$C$30="Yes"</formula>
    </cfRule>
  </conditionalFormatting>
  <conditionalFormatting sqref="B254:B257">
    <cfRule type="expression" dxfId="2655" priority="127">
      <formula>$C$30="Yes"</formula>
    </cfRule>
  </conditionalFormatting>
  <conditionalFormatting sqref="B156:B157">
    <cfRule type="expression" dxfId="2654" priority="145">
      <formula>$C$30="Yes"</formula>
    </cfRule>
  </conditionalFormatting>
  <conditionalFormatting sqref="B245:B246">
    <cfRule type="expression" dxfId="2653" priority="131">
      <formula>$C$30="Yes"</formula>
    </cfRule>
  </conditionalFormatting>
  <conditionalFormatting sqref="B216">
    <cfRule type="expression" dxfId="2652" priority="178">
      <formula>$C$30="Yes"</formula>
    </cfRule>
  </conditionalFormatting>
  <conditionalFormatting sqref="B248:B252">
    <cfRule type="expression" dxfId="2651" priority="129">
      <formula>$C$30="Yes"</formula>
    </cfRule>
  </conditionalFormatting>
  <conditionalFormatting sqref="B81:B83">
    <cfRule type="expression" dxfId="2650" priority="118">
      <formula>$C$30="Yes"</formula>
    </cfRule>
  </conditionalFormatting>
  <conditionalFormatting sqref="B269:B299">
    <cfRule type="expression" dxfId="2649" priority="26">
      <formula>$C$24="No"</formula>
    </cfRule>
    <cfRule type="expression" dxfId="2648" priority="175">
      <formula>$C$30="Yes"</formula>
    </cfRule>
  </conditionalFormatting>
  <conditionalFormatting sqref="B301:B312">
    <cfRule type="expression" dxfId="2647" priority="25">
      <formula>$C$29="No"</formula>
    </cfRule>
    <cfRule type="expression" dxfId="2646" priority="121">
      <formula>$C$30="Yes"</formula>
    </cfRule>
  </conditionalFormatting>
  <conditionalFormatting sqref="A296:E296 A297:A299">
    <cfRule type="expression" dxfId="2645" priority="119">
      <formula>$C$295="No"</formula>
    </cfRule>
  </conditionalFormatting>
  <conditionalFormatting sqref="B127">
    <cfRule type="expression" dxfId="2644" priority="70">
      <formula>$C$30="Yes"</formula>
    </cfRule>
  </conditionalFormatting>
  <conditionalFormatting sqref="B95:B96">
    <cfRule type="expression" dxfId="2643" priority="113">
      <formula>$C$30="Yes"</formula>
    </cfRule>
  </conditionalFormatting>
  <conditionalFormatting sqref="B113">
    <cfRule type="expression" dxfId="2642" priority="111">
      <formula>$C$30="Yes"</formula>
    </cfRule>
  </conditionalFormatting>
  <conditionalFormatting sqref="B72:B75">
    <cfRule type="expression" dxfId="2641" priority="108">
      <formula>$C$30="Yes"</formula>
    </cfRule>
  </conditionalFormatting>
  <conditionalFormatting sqref="B115:B117">
    <cfRule type="expression" dxfId="2640" priority="106">
      <formula>$C$30="Yes"</formula>
    </cfRule>
  </conditionalFormatting>
  <conditionalFormatting sqref="B118:B123">
    <cfRule type="expression" dxfId="2639" priority="105">
      <formula>$C$30="Yes"</formula>
    </cfRule>
  </conditionalFormatting>
  <conditionalFormatting sqref="B128:B131">
    <cfRule type="expression" dxfId="2638" priority="73">
      <formula>$C$30="Yes"</formula>
    </cfRule>
  </conditionalFormatting>
  <conditionalFormatting sqref="B206:B215">
    <cfRule type="expression" dxfId="2637" priority="47">
      <formula>$C$30="Yes"</formula>
    </cfRule>
  </conditionalFormatting>
  <conditionalFormatting sqref="E90">
    <cfRule type="expression" dxfId="2636" priority="80">
      <formula>$C$89="No"</formula>
    </cfRule>
  </conditionalFormatting>
  <conditionalFormatting sqref="E92:E93">
    <cfRule type="expression" dxfId="2635" priority="81">
      <formula>$C$91="No"</formula>
    </cfRule>
  </conditionalFormatting>
  <conditionalFormatting sqref="B132">
    <cfRule type="expression" dxfId="2634" priority="69">
      <formula>$C$30="Yes"</formula>
    </cfRule>
  </conditionalFormatting>
  <conditionalFormatting sqref="B133">
    <cfRule type="expression" dxfId="2633" priority="68">
      <formula>$C$30="Yes"</formula>
    </cfRule>
  </conditionalFormatting>
  <conditionalFormatting sqref="B135">
    <cfRule type="expression" dxfId="2632" priority="67">
      <formula>$C$30="Yes"</formula>
    </cfRule>
  </conditionalFormatting>
  <conditionalFormatting sqref="B134">
    <cfRule type="expression" dxfId="2631" priority="66">
      <formula>$C$30="Yes"</formula>
    </cfRule>
  </conditionalFormatting>
  <conditionalFormatting sqref="E184">
    <cfRule type="expression" dxfId="2630" priority="57">
      <formula>$C$183="No"</formula>
    </cfRule>
  </conditionalFormatting>
  <conditionalFormatting sqref="E189">
    <cfRule type="expression" dxfId="2629" priority="56">
      <formula>$C$188="No"</formula>
    </cfRule>
  </conditionalFormatting>
  <conditionalFormatting sqref="B193:B204">
    <cfRule type="expression" dxfId="2628" priority="53">
      <formula>$C$30="Yes"</formula>
    </cfRule>
  </conditionalFormatting>
  <conditionalFormatting sqref="B218:B222">
    <cfRule type="expression" dxfId="2627" priority="45">
      <formula>$C$30="Yes"</formula>
    </cfRule>
  </conditionalFormatting>
  <conditionalFormatting sqref="B259:B267">
    <cfRule type="expression" dxfId="2626" priority="37">
      <formula>$C$30="Yes"</formula>
    </cfRule>
  </conditionalFormatting>
  <conditionalFormatting sqref="B224:B234">
    <cfRule type="expression" dxfId="2625" priority="27">
      <formula>$C$30="Yes"</formula>
    </cfRule>
  </conditionalFormatting>
  <conditionalFormatting sqref="B206:B216">
    <cfRule type="expression" dxfId="2624" priority="22">
      <formula>$C$25="No"</formula>
    </cfRule>
  </conditionalFormatting>
  <conditionalFormatting sqref="B62:B67">
    <cfRule type="expression" dxfId="2623" priority="19">
      <formula>$C$30="Yes"</formula>
    </cfRule>
  </conditionalFormatting>
  <conditionalFormatting sqref="B98:B109">
    <cfRule type="expression" dxfId="2622" priority="12">
      <formula>$C$27="No"</formula>
    </cfRule>
    <cfRule type="expression" dxfId="2621" priority="18">
      <formula>$C$30="Yes"</formula>
    </cfRule>
  </conditionalFormatting>
  <conditionalFormatting sqref="B159:B177">
    <cfRule type="expression" dxfId="2620" priority="16">
      <formula>$C$30="Yes"</formula>
    </cfRule>
  </conditionalFormatting>
  <conditionalFormatting sqref="B179:B191">
    <cfRule type="expression" dxfId="2619" priority="10">
      <formula>$C$28="No"</formula>
    </cfRule>
    <cfRule type="expression" dxfId="2618" priority="15">
      <formula>$C$30="Yes"</formula>
    </cfRule>
  </conditionalFormatting>
  <conditionalFormatting sqref="C58">
    <cfRule type="expression" dxfId="2617" priority="14">
      <formula>$C$57="No"</formula>
    </cfRule>
  </conditionalFormatting>
  <conditionalFormatting sqref="B58">
    <cfRule type="expression" dxfId="2616" priority="9">
      <formula>$C$30="No"</formula>
    </cfRule>
  </conditionalFormatting>
  <conditionalFormatting sqref="B235:B236">
    <cfRule type="expression" dxfId="2615" priority="8">
      <formula>$C$48="Yes"</formula>
    </cfRule>
  </conditionalFormatting>
  <conditionalFormatting sqref="E201">
    <cfRule type="expression" dxfId="2614" priority="7">
      <formula>#REF!="Yes"</formula>
    </cfRule>
  </conditionalFormatting>
  <conditionalFormatting sqref="E218">
    <cfRule type="expression" dxfId="2613" priority="6">
      <formula>#REF!="Yes"</formula>
    </cfRule>
  </conditionalFormatting>
  <conditionalFormatting sqref="E224">
    <cfRule type="expression" dxfId="2612" priority="5">
      <formula>#REF!="Yes"</formula>
    </cfRule>
  </conditionalFormatting>
  <conditionalFormatting sqref="E257">
    <cfRule type="expression" dxfId="2611" priority="4">
      <formula>#REF!="Yes"</formula>
    </cfRule>
  </conditionalFormatting>
  <conditionalFormatting sqref="C90">
    <cfRule type="expression" dxfId="2610" priority="3">
      <formula>$C$89="No"</formula>
    </cfRule>
  </conditionalFormatting>
  <conditionalFormatting sqref="C92:C93">
    <cfRule type="expression" dxfId="2609" priority="2">
      <formula>$C$91="No"</formula>
    </cfRule>
  </conditionalFormatting>
  <conditionalFormatting sqref="D188">
    <cfRule type="expression" dxfId="2608" priority="1">
      <formula>$C$183="No"</formula>
    </cfRule>
  </conditionalFormatting>
  <dataValidations count="2">
    <dataValidation type="list" allowBlank="1" showInputMessage="1" showErrorMessage="1" sqref="C24:C30 C172:C174 C41:C44 C249:C252 C204 C80:C94 C62:C67 C74:C75 C72 C69 C301:C306 C111 C113:C114 C117:C125 C141 C127:C132 C134:C139 C193:C194 C309:C311 C169:C170 C52:C60 C177 C188:C191 C180:C186 C292:C299 C196:C202 C208:C215 C224:C243 C99:C109 C245:C246 C265 C267 C259:C263 C254:C257 C269:C290 C143:C154 C32 C166:C167 C156:C157 C159:C164 C218:C222" xr:uid="{00000000-0002-0000-0200-000000000000}">
      <formula1>yes</formula1>
    </dataValidation>
    <dataValidation type="list" allowBlank="1" showInputMessage="1" showErrorMessage="1" sqref="C171" xr:uid="{00000000-0002-0000-0200-000001000000}">
      <formula1>uptime</formula1>
    </dataValidation>
  </dataValidations>
  <hyperlinks>
    <hyperlink ref="C10" r:id="rId1" xr:uid="{F192DB9D-9D39-464F-89DB-E9FEB1A5DD57}"/>
    <hyperlink ref="C13" r:id="rId2" xr:uid="{195F8F73-3A1A-5F43-884B-17769CC881ED}"/>
  </hyperlinks>
  <pageMargins left="0.75" right="0.75" top="1" bottom="1" header="0.5" footer="0.5"/>
  <pageSetup orientation="landscape" r:id="rId3"/>
  <headerFooter>
    <oddFooter>&amp;L&amp;"Helvetica,Regular"&amp;12&amp;K000000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zoomScaleNormal="100" zoomScalePageLayoutView="80" workbookViewId="0">
      <selection sqref="A1:I1"/>
    </sheetView>
  </sheetViews>
  <sheetFormatPr baseColWidth="10" defaultColWidth="6.625" defaultRowHeight="15" customHeight="1" x14ac:dyDescent="0.15"/>
  <cols>
    <col min="1" max="1" width="8.25" customWidth="1"/>
    <col min="2" max="2" width="58.5" style="43" customWidth="1"/>
    <col min="3" max="3" width="24.625" style="44" customWidth="1"/>
    <col min="4" max="4" width="24.625" style="45" customWidth="1"/>
    <col min="5" max="5" width="24.625" style="40" customWidth="1"/>
    <col min="6" max="6" width="24.625" style="44" customWidth="1"/>
    <col min="7" max="7" width="24.625" style="24" customWidth="1"/>
    <col min="8" max="8" width="26.625" style="40" customWidth="1"/>
    <col min="9" max="9" width="12" style="3" customWidth="1"/>
    <col min="10" max="259" width="6.625" style="3" customWidth="1"/>
  </cols>
  <sheetData>
    <row r="1" spans="1:259" ht="36" customHeight="1" x14ac:dyDescent="0.15">
      <c r="A1" s="319" t="s">
        <v>2978</v>
      </c>
      <c r="B1" s="320"/>
      <c r="C1" s="320"/>
      <c r="D1" s="320"/>
      <c r="E1" s="320"/>
      <c r="F1" s="320"/>
      <c r="G1" s="320"/>
      <c r="H1" s="320"/>
      <c r="I1" s="321"/>
    </row>
    <row r="2" spans="1:259" ht="24" customHeight="1" x14ac:dyDescent="0.15">
      <c r="A2" s="291" t="s">
        <v>95</v>
      </c>
      <c r="B2" s="291"/>
      <c r="C2" s="291"/>
      <c r="D2" s="291"/>
      <c r="E2" s="291"/>
      <c r="F2" s="291"/>
      <c r="G2" s="291"/>
      <c r="H2" s="291"/>
      <c r="I2" s="166"/>
    </row>
    <row r="3" spans="1:259" s="134" customFormat="1" ht="2" customHeight="1" x14ac:dyDescent="0.15">
      <c r="A3" s="136"/>
      <c r="B3" s="136"/>
      <c r="C3" s="136"/>
      <c r="D3" s="136"/>
      <c r="E3" s="136"/>
      <c r="F3" s="136"/>
      <c r="G3" s="136"/>
      <c r="H3" s="136"/>
      <c r="I3" s="166"/>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34" customFormat="1" ht="2" customHeight="1" x14ac:dyDescent="0.15">
      <c r="A4" s="136"/>
      <c r="B4" s="136"/>
      <c r="C4" s="136"/>
      <c r="D4" s="136"/>
      <c r="E4" s="136"/>
      <c r="F4" s="136"/>
      <c r="G4" s="136"/>
      <c r="H4" s="136"/>
      <c r="I4" s="166"/>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34" customFormat="1" ht="2" customHeight="1" x14ac:dyDescent="0.15">
      <c r="A5" s="136"/>
      <c r="B5" s="136"/>
      <c r="C5" s="136"/>
      <c r="D5" s="136"/>
      <c r="E5" s="136"/>
      <c r="F5" s="136"/>
      <c r="G5" s="136"/>
      <c r="H5" s="136"/>
      <c r="I5" s="166"/>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34" customFormat="1" ht="2" customHeight="1" x14ac:dyDescent="0.15">
      <c r="A6" s="136"/>
      <c r="B6" s="136"/>
      <c r="C6" s="136"/>
      <c r="D6" s="136"/>
      <c r="E6" s="136"/>
      <c r="F6" s="136"/>
      <c r="G6" s="136"/>
      <c r="H6" s="136"/>
      <c r="I6" s="166"/>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34" customFormat="1" ht="2" customHeight="1" x14ac:dyDescent="0.15">
      <c r="A7" s="136"/>
      <c r="B7" s="136"/>
      <c r="C7" s="136"/>
      <c r="D7" s="136"/>
      <c r="E7" s="136"/>
      <c r="F7" s="136"/>
      <c r="G7" s="136"/>
      <c r="H7" s="136"/>
      <c r="I7" s="166"/>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34" customFormat="1" ht="2" customHeight="1" x14ac:dyDescent="0.15">
      <c r="A8" s="136"/>
      <c r="B8" s="136"/>
      <c r="C8" s="136"/>
      <c r="D8" s="136"/>
      <c r="E8" s="136"/>
      <c r="F8" s="136"/>
      <c r="G8" s="136"/>
      <c r="H8" s="136"/>
      <c r="I8" s="166"/>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34" customFormat="1" ht="2" customHeight="1" x14ac:dyDescent="0.15">
      <c r="A9" s="136"/>
      <c r="B9" s="136"/>
      <c r="C9" s="136"/>
      <c r="D9" s="136"/>
      <c r="E9" s="136"/>
      <c r="F9" s="136"/>
      <c r="G9" s="136"/>
      <c r="H9" s="136"/>
      <c r="I9" s="166"/>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34" customFormat="1" ht="2" customHeight="1" x14ac:dyDescent="0.15">
      <c r="A10" s="136"/>
      <c r="B10" s="136"/>
      <c r="C10" s="136"/>
      <c r="D10" s="136"/>
      <c r="E10" s="136"/>
      <c r="F10" s="136"/>
      <c r="G10" s="136"/>
      <c r="H10" s="136"/>
      <c r="I10" s="166"/>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34" customFormat="1" ht="2" customHeight="1" x14ac:dyDescent="0.15">
      <c r="A11" s="136"/>
      <c r="B11" s="136"/>
      <c r="C11" s="136"/>
      <c r="D11" s="136"/>
      <c r="E11" s="136"/>
      <c r="F11" s="136"/>
      <c r="G11" s="136"/>
      <c r="H11" s="136"/>
      <c r="I11" s="166"/>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34" customFormat="1" ht="2" customHeight="1" x14ac:dyDescent="0.15">
      <c r="A12" s="262"/>
      <c r="B12" s="262"/>
      <c r="C12" s="262"/>
      <c r="D12" s="262"/>
      <c r="E12" s="262"/>
      <c r="F12" s="262"/>
      <c r="G12" s="262"/>
      <c r="H12" s="262"/>
      <c r="I12" s="166"/>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34" customFormat="1" ht="2" customHeight="1" x14ac:dyDescent="0.15">
      <c r="A13" s="262"/>
      <c r="B13" s="262"/>
      <c r="C13" s="262"/>
      <c r="D13" s="262"/>
      <c r="E13" s="262"/>
      <c r="F13" s="262"/>
      <c r="G13" s="262"/>
      <c r="H13" s="262"/>
      <c r="I13" s="166"/>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34" customFormat="1" ht="2" customHeight="1" x14ac:dyDescent="0.15">
      <c r="A14" s="262"/>
      <c r="B14" s="262"/>
      <c r="C14" s="262"/>
      <c r="D14" s="262"/>
      <c r="E14" s="262"/>
      <c r="F14" s="262"/>
      <c r="G14" s="262"/>
      <c r="H14" s="262"/>
      <c r="I14" s="166"/>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34" customFormat="1" ht="2" customHeight="1" x14ac:dyDescent="0.15">
      <c r="A15" s="262"/>
      <c r="B15" s="262"/>
      <c r="C15" s="262"/>
      <c r="D15" s="262"/>
      <c r="E15" s="262"/>
      <c r="F15" s="262"/>
      <c r="G15" s="262"/>
      <c r="H15" s="262"/>
      <c r="I15" s="166"/>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34" customFormat="1" ht="2" customHeight="1" x14ac:dyDescent="0.15">
      <c r="A16" s="262"/>
      <c r="B16" s="262"/>
      <c r="C16" s="262"/>
      <c r="D16" s="262"/>
      <c r="E16" s="262"/>
      <c r="F16" s="262"/>
      <c r="G16" s="262"/>
      <c r="H16" s="262"/>
      <c r="I16" s="166"/>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34" customFormat="1" ht="2" customHeight="1" x14ac:dyDescent="0.15">
      <c r="A17" s="262"/>
      <c r="B17" s="262"/>
      <c r="C17" s="262"/>
      <c r="D17" s="262"/>
      <c r="E17" s="262"/>
      <c r="F17" s="262"/>
      <c r="G17" s="262"/>
      <c r="H17" s="262"/>
      <c r="I17" s="166"/>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34" customFormat="1" ht="2" customHeight="1" x14ac:dyDescent="0.15">
      <c r="A18" s="262"/>
      <c r="B18" s="262"/>
      <c r="C18" s="262"/>
      <c r="D18" s="262"/>
      <c r="E18" s="262"/>
      <c r="F18" s="262"/>
      <c r="G18" s="262"/>
      <c r="H18" s="262"/>
      <c r="I18" s="166"/>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34" customFormat="1" ht="2" customHeight="1" x14ac:dyDescent="0.15">
      <c r="A19" s="262"/>
      <c r="B19" s="262"/>
      <c r="C19" s="262"/>
      <c r="D19" s="262"/>
      <c r="E19" s="262"/>
      <c r="F19" s="262"/>
      <c r="G19" s="262"/>
      <c r="H19" s="262"/>
      <c r="I19" s="166"/>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134" customFormat="1" ht="2" customHeight="1" x14ac:dyDescent="0.15">
      <c r="A20" s="136"/>
      <c r="B20" s="136"/>
      <c r="C20" s="136"/>
      <c r="D20" s="136"/>
      <c r="E20" s="136"/>
      <c r="F20" s="136"/>
      <c r="G20" s="136"/>
      <c r="H20" s="136"/>
      <c r="I20" s="166"/>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134" customFormat="1" ht="2" customHeight="1" x14ac:dyDescent="0.15">
      <c r="A21" s="136"/>
      <c r="B21" s="136"/>
      <c r="C21" s="136"/>
      <c r="D21" s="136"/>
      <c r="E21" s="136"/>
      <c r="F21" s="136"/>
      <c r="G21" s="136"/>
      <c r="H21" s="136"/>
      <c r="I21" s="166"/>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5" customFormat="1" ht="36" customHeight="1" x14ac:dyDescent="0.15">
      <c r="A22" s="304" t="s">
        <v>11</v>
      </c>
      <c r="B22" s="304"/>
      <c r="C22" s="36" t="s">
        <v>560</v>
      </c>
      <c r="D22" s="36" t="s">
        <v>561</v>
      </c>
      <c r="E22" s="36" t="s">
        <v>887</v>
      </c>
      <c r="F22" s="36" t="s">
        <v>564</v>
      </c>
      <c r="G22" s="25" t="s">
        <v>563</v>
      </c>
      <c r="H22" s="36" t="s">
        <v>562</v>
      </c>
      <c r="I22" s="167" t="s">
        <v>2044</v>
      </c>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row>
    <row r="23" spans="1:259" s="182" customFormat="1" ht="17" customHeight="1" x14ac:dyDescent="0.15">
      <c r="A23" s="177"/>
      <c r="B23" s="177"/>
      <c r="C23" s="178"/>
      <c r="D23" s="178"/>
      <c r="E23" s="178"/>
      <c r="F23" s="178"/>
      <c r="G23" s="179"/>
      <c r="H23" s="178"/>
      <c r="I23" s="180"/>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c r="IL23" s="181"/>
      <c r="IM23" s="181"/>
      <c r="IN23" s="181"/>
      <c r="IO23" s="181"/>
      <c r="IP23" s="181"/>
      <c r="IQ23" s="181"/>
      <c r="IR23" s="181"/>
      <c r="IS23" s="181"/>
      <c r="IT23" s="181"/>
      <c r="IU23" s="181"/>
      <c r="IV23" s="181"/>
      <c r="IW23" s="181"/>
      <c r="IX23" s="181"/>
      <c r="IY23" s="181"/>
    </row>
    <row r="24" spans="1:259" ht="48" customHeight="1" x14ac:dyDescent="0.15">
      <c r="A24" s="15" t="s">
        <v>163</v>
      </c>
      <c r="B24" s="30" t="str">
        <f>VLOOKUP(A24,'HECVAT - Full'!A$24:B$312,2,FALSE)</f>
        <v>Does your product process protected health information (PHI) or any data covered by the Health Insurance Portability and Accountability Act?</v>
      </c>
      <c r="C24" s="37" t="s">
        <v>567</v>
      </c>
      <c r="D24" s="37" t="s">
        <v>614</v>
      </c>
      <c r="E24" s="37" t="s">
        <v>615</v>
      </c>
      <c r="F24" s="37" t="s">
        <v>696</v>
      </c>
      <c r="G24" s="46" t="s">
        <v>696</v>
      </c>
      <c r="H24" s="37" t="s">
        <v>817</v>
      </c>
      <c r="I24" s="38"/>
    </row>
    <row r="25" spans="1:259" ht="48" customHeight="1" x14ac:dyDescent="0.15">
      <c r="A25" s="15" t="s">
        <v>164</v>
      </c>
      <c r="B25" s="30" t="str">
        <f>VLOOKUP(A25,'HECVAT - Full'!A$24:B$312,2,FALSE)</f>
        <v>Does the vended product host/support a mobile application? (e.g. app)</v>
      </c>
      <c r="C25" s="37" t="s">
        <v>568</v>
      </c>
      <c r="D25" s="38"/>
      <c r="E25" s="38"/>
      <c r="F25" s="38"/>
      <c r="G25" s="47"/>
      <c r="H25" s="37" t="s">
        <v>818</v>
      </c>
      <c r="I25" s="38"/>
    </row>
    <row r="26" spans="1:259" ht="48" customHeight="1" x14ac:dyDescent="0.15">
      <c r="A26" s="15" t="s">
        <v>165</v>
      </c>
      <c r="B26" s="30" t="str">
        <f>VLOOKUP(A26,'HECVAT - Full'!A$24:B$312,2,FALSE)</f>
        <v>Will institution data be shared with or hosted by any third parties? (e.g. any entity not wholly-owned by your company is considered a third-party)</v>
      </c>
      <c r="C26" s="37" t="s">
        <v>567</v>
      </c>
      <c r="D26" s="38"/>
      <c r="E26" s="38"/>
      <c r="F26" s="37" t="s">
        <v>697</v>
      </c>
      <c r="G26" s="46" t="s">
        <v>697</v>
      </c>
      <c r="H26" s="38"/>
      <c r="I26" s="37">
        <v>12.8</v>
      </c>
    </row>
    <row r="27" spans="1:259" ht="48" customHeight="1" x14ac:dyDescent="0.15">
      <c r="A27" s="15" t="s">
        <v>166</v>
      </c>
      <c r="B27" s="30" t="str">
        <f>VLOOKUP(A27,'HECVAT - Full'!A$24:B$312,2,FALSE)</f>
        <v>Do you have a Business Continuity Plan (BCP)?</v>
      </c>
      <c r="C27" s="37" t="s">
        <v>569</v>
      </c>
      <c r="D27" s="38"/>
      <c r="E27" s="37" t="s">
        <v>616</v>
      </c>
      <c r="F27" s="37" t="s">
        <v>698</v>
      </c>
      <c r="G27" s="46" t="s">
        <v>698</v>
      </c>
      <c r="H27" s="37" t="s">
        <v>819</v>
      </c>
      <c r="I27" s="37">
        <v>12.1</v>
      </c>
    </row>
    <row r="28" spans="1:259" ht="48" customHeight="1" x14ac:dyDescent="0.15">
      <c r="A28" s="15" t="s">
        <v>167</v>
      </c>
      <c r="B28" s="30" t="str">
        <f>VLOOKUP(A28,'HECVAT - Full'!A$24:B$312,2,FALSE)</f>
        <v>Do you have a Disaster Recovery Plan (DRP)?</v>
      </c>
      <c r="C28" s="37" t="s">
        <v>569</v>
      </c>
      <c r="D28" s="38"/>
      <c r="E28" s="37" t="s">
        <v>616</v>
      </c>
      <c r="F28" s="37" t="s">
        <v>698</v>
      </c>
      <c r="G28" s="46" t="s">
        <v>698</v>
      </c>
      <c r="H28" s="37" t="s">
        <v>820</v>
      </c>
      <c r="I28" s="37">
        <v>12.1</v>
      </c>
    </row>
    <row r="29" spans="1:259" ht="48" customHeight="1" x14ac:dyDescent="0.15">
      <c r="A29" s="15" t="s">
        <v>168</v>
      </c>
      <c r="B29" s="30" t="str">
        <f>VLOOKUP(A29,'HECVAT - Full'!A$24:B$312,2,FALSE)</f>
        <v>Will data regulated by PCI DSS reside in the vended product?</v>
      </c>
      <c r="C29" s="37" t="s">
        <v>567</v>
      </c>
      <c r="D29" s="38"/>
      <c r="E29" s="37" t="s">
        <v>615</v>
      </c>
      <c r="F29" s="37" t="s">
        <v>696</v>
      </c>
      <c r="G29" s="46" t="s">
        <v>696</v>
      </c>
      <c r="H29" s="37" t="s">
        <v>817</v>
      </c>
      <c r="I29" s="37" t="s">
        <v>2104</v>
      </c>
    </row>
    <row r="30" spans="1:259" ht="48" customHeight="1" x14ac:dyDescent="0.15">
      <c r="A30" s="15" t="s">
        <v>169</v>
      </c>
      <c r="B30" s="30" t="str">
        <f>VLOOKUP(A30,'HECVAT - Full'!A$24:B$312,2,FALSE)</f>
        <v>Is your company a consulting firm providing only consultation to the Institution?</v>
      </c>
      <c r="C30" s="37" t="s">
        <v>570</v>
      </c>
      <c r="D30" s="38"/>
      <c r="E30" s="38"/>
      <c r="F30" s="38"/>
      <c r="G30" s="47"/>
      <c r="H30" s="38"/>
      <c r="I30" s="37" t="s">
        <v>2105</v>
      </c>
    </row>
    <row r="31" spans="1:259" s="35" customFormat="1" ht="36" customHeight="1" x14ac:dyDescent="0.15">
      <c r="A31" s="304" t="s">
        <v>17</v>
      </c>
      <c r="B31" s="304"/>
      <c r="C31" s="36" t="str">
        <f>$C$22</f>
        <v>CIS Critical Security Controls v6.1</v>
      </c>
      <c r="D31" s="36" t="str">
        <f>$D$22</f>
        <v>HIPAA</v>
      </c>
      <c r="E31" s="36" t="str">
        <f>$E$22</f>
        <v>ISO 27002:2013</v>
      </c>
      <c r="F31" s="36" t="str">
        <f>$F$22</f>
        <v>NIST Cybersecurity Framework</v>
      </c>
      <c r="G31" s="25" t="str">
        <f>$G$22</f>
        <v>NIST SP 800-171r1</v>
      </c>
      <c r="H31" s="36" t="str">
        <f>$H$22</f>
        <v>NIST SP 800-53r4</v>
      </c>
      <c r="I31" s="167" t="s">
        <v>2044</v>
      </c>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row>
    <row r="32" spans="1:259" ht="64.25" customHeight="1" x14ac:dyDescent="0.15">
      <c r="A32" s="15" t="s">
        <v>170</v>
      </c>
      <c r="B32" s="30" t="str">
        <f>VLOOKUP(A32,'HECVAT - Full'!A$24:B$312,2,FALSE)</f>
        <v>Have you undergone a SSAE 18 audit?</v>
      </c>
      <c r="C32" s="38"/>
      <c r="D32" s="38"/>
      <c r="E32" s="37" t="s">
        <v>617</v>
      </c>
      <c r="F32" s="38"/>
      <c r="G32" s="47"/>
      <c r="H32" s="37" t="s">
        <v>821</v>
      </c>
      <c r="I32" s="38"/>
    </row>
    <row r="33" spans="1:259" ht="48" customHeight="1" x14ac:dyDescent="0.15">
      <c r="A33" s="15" t="s">
        <v>171</v>
      </c>
      <c r="B33" s="30" t="str">
        <f>VLOOKUP(A33,'HECVAT - Full'!A$24:B$312,2,FALSE)</f>
        <v>Have you completed the Cloud Security Alliance (CSA) self assessment or CAIQ?</v>
      </c>
      <c r="C33" s="38"/>
      <c r="D33" s="38"/>
      <c r="E33" s="37" t="s">
        <v>617</v>
      </c>
      <c r="F33" s="38"/>
      <c r="G33" s="47"/>
      <c r="H33" s="37" t="s">
        <v>822</v>
      </c>
      <c r="I33" s="38"/>
    </row>
    <row r="34" spans="1:259" ht="48" customHeight="1" x14ac:dyDescent="0.15">
      <c r="A34" s="15" t="s">
        <v>172</v>
      </c>
      <c r="B34" s="30" t="str">
        <f>VLOOKUP(A34,'HECVAT - Full'!A$24:B$312,2,FALSE)</f>
        <v>Have you received the Cloud Security Alliance STAR certification?</v>
      </c>
      <c r="C34" s="38"/>
      <c r="D34" s="38"/>
      <c r="E34" s="37" t="s">
        <v>617</v>
      </c>
      <c r="F34" s="38"/>
      <c r="G34" s="47"/>
      <c r="H34" s="37" t="s">
        <v>822</v>
      </c>
      <c r="I34" s="38"/>
    </row>
    <row r="35" spans="1:259" ht="64.25" customHeight="1" x14ac:dyDescent="0.15">
      <c r="A35" s="15" t="s">
        <v>173</v>
      </c>
      <c r="B35" s="30" t="str">
        <f>VLOOKUP(A35,'HECVAT - Full'!A$24:B$312,2,FALSE)</f>
        <v>Do you conform with a specific industry standard security framework? (e.g. NIST Cybersecurity Framework, ISO 27001, etc.)</v>
      </c>
      <c r="C35" s="38"/>
      <c r="D35" s="38"/>
      <c r="E35" s="37" t="s">
        <v>615</v>
      </c>
      <c r="F35" s="38"/>
      <c r="G35" s="47"/>
      <c r="H35" s="37" t="s">
        <v>821</v>
      </c>
      <c r="I35" s="37" t="s">
        <v>2106</v>
      </c>
    </row>
    <row r="36" spans="1:259" ht="48" customHeight="1" x14ac:dyDescent="0.15">
      <c r="A36" s="15" t="s">
        <v>174</v>
      </c>
      <c r="B36" s="30" t="str">
        <f>VLOOKUP(A36,'HECVAT - Full'!A$24:B$312,2,FALSE)</f>
        <v>Are you compliant with FISMA standards?</v>
      </c>
      <c r="C36" s="38"/>
      <c r="D36" s="38"/>
      <c r="E36" s="37" t="s">
        <v>615</v>
      </c>
      <c r="F36" s="38"/>
      <c r="G36" s="47"/>
      <c r="H36" s="37" t="s">
        <v>821</v>
      </c>
      <c r="I36" s="38"/>
    </row>
    <row r="37" spans="1:259" ht="48" customHeight="1" x14ac:dyDescent="0.15">
      <c r="A37" s="15" t="s">
        <v>175</v>
      </c>
      <c r="B37" s="30" t="str">
        <f>VLOOKUP(A37,'HECVAT - Full'!A$24:B$312,2,FALSE)</f>
        <v>Does your organization have a data privacy policy?</v>
      </c>
      <c r="C37" s="38"/>
      <c r="D37" s="37" t="s">
        <v>598</v>
      </c>
      <c r="E37" s="37" t="s">
        <v>618</v>
      </c>
      <c r="F37" s="37" t="s">
        <v>696</v>
      </c>
      <c r="G37" s="46" t="s">
        <v>696</v>
      </c>
      <c r="H37" s="37" t="s">
        <v>821</v>
      </c>
      <c r="I37" s="38"/>
    </row>
    <row r="38" spans="1:259" s="35" customFormat="1" ht="36" customHeight="1" x14ac:dyDescent="0.15">
      <c r="A38" s="304" t="s">
        <v>151</v>
      </c>
      <c r="B38" s="304"/>
      <c r="C38" s="36" t="str">
        <f>$C$22</f>
        <v>CIS Critical Security Controls v6.1</v>
      </c>
      <c r="D38" s="36" t="str">
        <f>$D$22</f>
        <v>HIPAA</v>
      </c>
      <c r="E38" s="36" t="str">
        <f>$E$22</f>
        <v>ISO 27002:2013</v>
      </c>
      <c r="F38" s="36" t="str">
        <f>$F$22</f>
        <v>NIST Cybersecurity Framework</v>
      </c>
      <c r="G38" s="25" t="str">
        <f>$G$22</f>
        <v>NIST SP 800-171r1</v>
      </c>
      <c r="H38" s="36" t="str">
        <f>$H$22</f>
        <v>NIST SP 800-53r4</v>
      </c>
      <c r="I38" s="167" t="s">
        <v>2044</v>
      </c>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row>
    <row r="39" spans="1:259" ht="54" customHeight="1" x14ac:dyDescent="0.15">
      <c r="A39" s="15" t="s">
        <v>176</v>
      </c>
      <c r="B39" s="30" t="str">
        <f>VLOOKUP(A39,'HECVAT - Full'!A$24:B$312,2,FALSE)</f>
        <v>Describe your organization’s business background and ownership structure, including all parent and subsidiary relationships.</v>
      </c>
      <c r="C39" s="38"/>
      <c r="D39" s="38"/>
      <c r="E39" s="38"/>
      <c r="F39" s="38"/>
      <c r="G39" s="47"/>
      <c r="H39" s="38"/>
      <c r="I39" s="37">
        <v>12.8</v>
      </c>
    </row>
    <row r="40" spans="1:259" ht="54" customHeight="1" x14ac:dyDescent="0.15">
      <c r="A40" s="15" t="s">
        <v>177</v>
      </c>
      <c r="B40" s="30" t="str">
        <f>VLOOKUP(A40,'HECVAT - Full'!A$24:B$312,2,FALSE)</f>
        <v>Describe how long your organization has conducted business in this product area.</v>
      </c>
      <c r="C40" s="38"/>
      <c r="D40" s="38"/>
      <c r="E40" s="38"/>
      <c r="F40" s="38"/>
      <c r="G40" s="47"/>
      <c r="H40" s="38"/>
      <c r="I40" s="37">
        <v>12.8</v>
      </c>
    </row>
    <row r="41" spans="1:259" ht="54" customHeight="1" x14ac:dyDescent="0.15">
      <c r="A41" s="15" t="s">
        <v>178</v>
      </c>
      <c r="B41" s="30" t="str">
        <f>VLOOKUP(A41,'HECVAT - Full'!A$24:B$312,2,FALSE)</f>
        <v>Do you have existing higher education customers?</v>
      </c>
      <c r="C41" s="38"/>
      <c r="D41" s="38"/>
      <c r="E41" s="37" t="s">
        <v>617</v>
      </c>
      <c r="F41" s="38"/>
      <c r="G41" s="47"/>
      <c r="H41" s="38"/>
      <c r="I41" s="37">
        <v>12.8</v>
      </c>
    </row>
    <row r="42" spans="1:259" ht="64.25" customHeight="1" x14ac:dyDescent="0.15">
      <c r="A42" s="15" t="s">
        <v>179</v>
      </c>
      <c r="B42" s="30" t="str">
        <f>VLOOKUP(A42,'HECVAT - Full'!A$24:B$312,2,FALSE)</f>
        <v>Have you had a significant breach in the last 5 years?</v>
      </c>
      <c r="C42" s="38"/>
      <c r="D42" s="38"/>
      <c r="E42" s="38"/>
      <c r="F42" s="38"/>
      <c r="G42" s="38"/>
      <c r="H42" s="38"/>
      <c r="I42" s="38"/>
    </row>
    <row r="43" spans="1:259" ht="54" customHeight="1" x14ac:dyDescent="0.15">
      <c r="A43" s="15" t="s">
        <v>180</v>
      </c>
      <c r="B43" s="30" t="str">
        <f>VLOOKUP(A43,'HECVAT - Full'!A$24:B$312,2,FALSE)</f>
        <v>Do you have a dedicated Information Security staff or office?</v>
      </c>
      <c r="C43" s="38"/>
      <c r="D43" s="38"/>
      <c r="E43" s="37" t="s">
        <v>617</v>
      </c>
      <c r="F43" s="38"/>
      <c r="G43" s="47"/>
      <c r="H43" s="38"/>
      <c r="I43" s="37" t="s">
        <v>2107</v>
      </c>
    </row>
    <row r="44" spans="1:259" ht="64.25" customHeight="1" x14ac:dyDescent="0.15">
      <c r="A44" s="15" t="s">
        <v>181</v>
      </c>
      <c r="B44" s="30" t="str">
        <f>VLOOKUP(A44,'HECVAT - Full'!A$24:B$312,2,FALSE)</f>
        <v>Do you have a dedicated Software and System Development team(s)? (e.g. Customer Support, Implementation, Product Management, etc.)</v>
      </c>
      <c r="C44" s="38"/>
      <c r="D44" s="38"/>
      <c r="E44" s="37" t="s">
        <v>620</v>
      </c>
      <c r="F44" s="38"/>
      <c r="G44" s="47"/>
      <c r="H44" s="37" t="s">
        <v>823</v>
      </c>
      <c r="I44" s="37">
        <v>12.8</v>
      </c>
    </row>
    <row r="45" spans="1:259" ht="83" customHeight="1" x14ac:dyDescent="0.15">
      <c r="A45" s="15" t="s">
        <v>429</v>
      </c>
      <c r="B45" s="30" t="str">
        <f>VLOOKUP(A45,'HECVAT - Full'!A$24:B$312,2,FALSE)</f>
        <v>Use this area to share information about your environment that will assist those who are assessing your company data security program.</v>
      </c>
      <c r="C45" s="38"/>
      <c r="D45" s="38"/>
      <c r="E45" s="37" t="s">
        <v>617</v>
      </c>
      <c r="F45" s="38"/>
      <c r="G45" s="47"/>
      <c r="H45" s="38"/>
      <c r="I45" s="37">
        <v>12.8</v>
      </c>
    </row>
    <row r="46" spans="1:259" ht="36" customHeight="1" x14ac:dyDescent="0.15">
      <c r="A46" s="304" t="str">
        <f>IF($C$26="No","Third Parties - Optional based on QUALIFIER response.","Third Parties")</f>
        <v>Third Parties</v>
      </c>
      <c r="B46" s="304"/>
      <c r="C46" s="36" t="str">
        <f>$C$22</f>
        <v>CIS Critical Security Controls v6.1</v>
      </c>
      <c r="D46" s="36" t="str">
        <f>$D$22</f>
        <v>HIPAA</v>
      </c>
      <c r="E46" s="36" t="str">
        <f>$E$22</f>
        <v>ISO 27002:2013</v>
      </c>
      <c r="F46" s="36" t="str">
        <f>$F$22</f>
        <v>NIST Cybersecurity Framework</v>
      </c>
      <c r="G46" s="25" t="str">
        <f>$G$22</f>
        <v>NIST SP 800-171r1</v>
      </c>
      <c r="H46" s="36" t="str">
        <f>$H$22</f>
        <v>NIST SP 800-53r4</v>
      </c>
      <c r="I46" s="167" t="s">
        <v>2044</v>
      </c>
    </row>
    <row r="47" spans="1:259" ht="96" customHeight="1" x14ac:dyDescent="0.15">
      <c r="A47" s="15" t="s">
        <v>182</v>
      </c>
      <c r="B47" s="30" t="s">
        <v>129</v>
      </c>
      <c r="C47" s="37" t="s">
        <v>567</v>
      </c>
      <c r="D47" s="38"/>
      <c r="E47" s="37" t="s">
        <v>621</v>
      </c>
      <c r="F47" s="37" t="s">
        <v>767</v>
      </c>
      <c r="G47" s="46" t="s">
        <v>699</v>
      </c>
      <c r="H47" s="37" t="s">
        <v>824</v>
      </c>
      <c r="I47" s="37">
        <v>12.8</v>
      </c>
    </row>
    <row r="48" spans="1:259" ht="80" customHeight="1" x14ac:dyDescent="0.15">
      <c r="A48" s="15" t="s">
        <v>183</v>
      </c>
      <c r="B48" s="30" t="s">
        <v>515</v>
      </c>
      <c r="C48" s="37" t="s">
        <v>567</v>
      </c>
      <c r="D48" s="38"/>
      <c r="E48" s="37" t="s">
        <v>621</v>
      </c>
      <c r="F48" s="37" t="s">
        <v>767</v>
      </c>
      <c r="G48" s="46" t="s">
        <v>699</v>
      </c>
      <c r="H48" s="38"/>
      <c r="I48" s="37">
        <v>12.8</v>
      </c>
    </row>
    <row r="49" spans="1:259" ht="80" customHeight="1" x14ac:dyDescent="0.15">
      <c r="A49" s="15" t="s">
        <v>184</v>
      </c>
      <c r="B49" s="30" t="s">
        <v>20</v>
      </c>
      <c r="C49" s="37" t="s">
        <v>567</v>
      </c>
      <c r="D49" s="38"/>
      <c r="E49" s="37" t="s">
        <v>621</v>
      </c>
      <c r="F49" s="37" t="s">
        <v>696</v>
      </c>
      <c r="G49" s="47"/>
      <c r="H49" s="37" t="s">
        <v>825</v>
      </c>
      <c r="I49" s="37">
        <v>12.8</v>
      </c>
    </row>
    <row r="50" spans="1:259" ht="80" customHeight="1" x14ac:dyDescent="0.15">
      <c r="A50" s="15" t="s">
        <v>428</v>
      </c>
      <c r="B50" s="30" t="s">
        <v>440</v>
      </c>
      <c r="C50" s="38"/>
      <c r="D50" s="38"/>
      <c r="E50" s="37" t="s">
        <v>621</v>
      </c>
      <c r="F50" s="37" t="s">
        <v>697</v>
      </c>
      <c r="G50" s="47"/>
      <c r="H50" s="37" t="s">
        <v>826</v>
      </c>
      <c r="I50" s="37">
        <v>12.8</v>
      </c>
    </row>
    <row r="51" spans="1:259" ht="36" customHeight="1" x14ac:dyDescent="0.15">
      <c r="A51" s="304" t="str">
        <f>IF($C$30="","Consulting",IF($C$30="Yes","Consulting - All questions after this section are OPTIONAL.","Consulting - Optional based on QUALIFIER response."))</f>
        <v>Consulting - Optional based on QUALIFIER response.</v>
      </c>
      <c r="B51" s="304"/>
      <c r="C51" s="36" t="str">
        <f>$C$22</f>
        <v>CIS Critical Security Controls v6.1</v>
      </c>
      <c r="D51" s="36" t="str">
        <f>$D$22</f>
        <v>HIPAA</v>
      </c>
      <c r="E51" s="36" t="str">
        <f>$E$22</f>
        <v>ISO 27002:2013</v>
      </c>
      <c r="F51" s="36" t="str">
        <f>$F$22</f>
        <v>NIST Cybersecurity Framework</v>
      </c>
      <c r="G51" s="25" t="str">
        <f>$G$22</f>
        <v>NIST SP 800-171r1</v>
      </c>
      <c r="H51" s="36" t="str">
        <f>$H$22</f>
        <v>NIST SP 800-53r4</v>
      </c>
      <c r="I51" s="167" t="s">
        <v>2044</v>
      </c>
    </row>
    <row r="52" spans="1:259" ht="36" customHeight="1" x14ac:dyDescent="0.15">
      <c r="A52" s="15" t="s">
        <v>185</v>
      </c>
      <c r="B52" s="30" t="str">
        <f>VLOOKUP(A52,'HECVAT - Full'!A$24:B$312,2,FALSE)</f>
        <v>Will the consulting take place on-premises?</v>
      </c>
      <c r="C52" s="38"/>
      <c r="D52" s="38"/>
      <c r="E52" s="37" t="s">
        <v>617</v>
      </c>
      <c r="F52" s="37" t="s">
        <v>697</v>
      </c>
      <c r="G52" s="47"/>
      <c r="H52" s="38"/>
      <c r="I52" s="38"/>
    </row>
    <row r="53" spans="1:259" ht="63" customHeight="1" x14ac:dyDescent="0.15">
      <c r="A53" s="15" t="s">
        <v>186</v>
      </c>
      <c r="B53" s="30" t="str">
        <f>VLOOKUP(A53,'HECVAT - Full'!A$24:B$312,2,FALSE)</f>
        <v>Will the consultant require access to Institution's network resources?</v>
      </c>
      <c r="C53" s="37" t="s">
        <v>570</v>
      </c>
      <c r="D53" s="38"/>
      <c r="E53" s="37" t="s">
        <v>622</v>
      </c>
      <c r="F53" s="37" t="s">
        <v>697</v>
      </c>
      <c r="G53" s="46" t="s">
        <v>700</v>
      </c>
      <c r="H53" s="37" t="s">
        <v>827</v>
      </c>
      <c r="I53" s="38"/>
    </row>
    <row r="54" spans="1:259" ht="63" customHeight="1" x14ac:dyDescent="0.15">
      <c r="A54" s="15" t="s">
        <v>187</v>
      </c>
      <c r="B54" s="30" t="str">
        <f>VLOOKUP(A54,'HECVAT - Full'!A$24:B$312,2,FALSE)</f>
        <v>Will the consultant require access to hardware in the Institution's data centers?</v>
      </c>
      <c r="C54" s="37" t="s">
        <v>570</v>
      </c>
      <c r="D54" s="38"/>
      <c r="E54" s="37" t="s">
        <v>623</v>
      </c>
      <c r="F54" s="37" t="s">
        <v>697</v>
      </c>
      <c r="G54" s="46" t="s">
        <v>701</v>
      </c>
      <c r="H54" s="38"/>
      <c r="I54" s="38"/>
    </row>
    <row r="55" spans="1:259" ht="48" customHeight="1" x14ac:dyDescent="0.15">
      <c r="A55" s="15" t="s">
        <v>188</v>
      </c>
      <c r="B55" s="30" t="str">
        <f>VLOOKUP(A55,'HECVAT - Full'!A$24:B$312,2,FALSE)</f>
        <v>Will the consultant require an account within the Institution's domain (@*.edu)?</v>
      </c>
      <c r="C55" s="37" t="s">
        <v>570</v>
      </c>
      <c r="D55" s="38"/>
      <c r="E55" s="38"/>
      <c r="F55" s="37" t="s">
        <v>697</v>
      </c>
      <c r="G55" s="47"/>
      <c r="H55" s="38"/>
      <c r="I55" s="38"/>
    </row>
    <row r="56" spans="1:259" ht="48" customHeight="1" x14ac:dyDescent="0.15">
      <c r="A56" s="15" t="s">
        <v>189</v>
      </c>
      <c r="B56" s="30" t="str">
        <f>VLOOKUP(A56,'HECVAT - Full'!A$24:B$312,2,FALSE)</f>
        <v>Has the consultant received training on [sensitive, HIPAA, PCI, etc.] data handling?</v>
      </c>
      <c r="C56" s="37" t="s">
        <v>567</v>
      </c>
      <c r="D56" s="38"/>
      <c r="E56" s="37" t="s">
        <v>615</v>
      </c>
      <c r="F56" s="37" t="s">
        <v>697</v>
      </c>
      <c r="G56" s="47"/>
      <c r="H56" s="38"/>
      <c r="I56" s="38"/>
    </row>
    <row r="57" spans="1:259" ht="48" customHeight="1" x14ac:dyDescent="0.15">
      <c r="A57" s="15" t="s">
        <v>190</v>
      </c>
      <c r="B57" s="30" t="str">
        <f>VLOOKUP(A57,'HECVAT - Full'!A$24:B$312,2,FALSE)</f>
        <v>Will any data be transferred to the consultant's possession?</v>
      </c>
      <c r="C57" s="37" t="s">
        <v>567</v>
      </c>
      <c r="D57" s="38"/>
      <c r="E57" s="37" t="s">
        <v>636</v>
      </c>
      <c r="F57" s="37" t="s">
        <v>697</v>
      </c>
      <c r="G57" s="46" t="s">
        <v>699</v>
      </c>
      <c r="H57" s="37" t="s">
        <v>828</v>
      </c>
      <c r="I57" s="38"/>
    </row>
    <row r="58" spans="1:259" s="1" customFormat="1" ht="48" customHeight="1" x14ac:dyDescent="0.2">
      <c r="A58" s="15" t="s">
        <v>191</v>
      </c>
      <c r="B58" s="30" t="str">
        <f>VLOOKUP(A58,'HECVAT - Full'!A$24:B$312,2,FALSE)</f>
        <v>Is it encrypted (at rest) while in the consultant's possession?</v>
      </c>
      <c r="C58" s="37" t="s">
        <v>567</v>
      </c>
      <c r="D58" s="38"/>
      <c r="E58" s="37" t="s">
        <v>637</v>
      </c>
      <c r="F58" s="37" t="s">
        <v>697</v>
      </c>
      <c r="G58" s="46" t="s">
        <v>702</v>
      </c>
      <c r="H58" s="37" t="s">
        <v>828</v>
      </c>
      <c r="I58" s="38"/>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15">
      <c r="A59" s="15" t="s">
        <v>192</v>
      </c>
      <c r="B59" s="30" t="str">
        <f>VLOOKUP(A59,'HECVAT - Full'!A$24:B$312,2,FALSE)</f>
        <v>Will the consultant need remote access to the Institution's network or systems?</v>
      </c>
      <c r="C59" s="37" t="s">
        <v>570</v>
      </c>
      <c r="D59" s="38"/>
      <c r="E59" s="37" t="s">
        <v>636</v>
      </c>
      <c r="F59" s="37" t="s">
        <v>697</v>
      </c>
      <c r="G59" s="47"/>
      <c r="H59" s="38"/>
      <c r="I59" s="38"/>
    </row>
    <row r="60" spans="1:259" s="1" customFormat="1" ht="36" customHeight="1" x14ac:dyDescent="0.2">
      <c r="A60" s="15" t="s">
        <v>193</v>
      </c>
      <c r="B60" s="30" t="str">
        <f>VLOOKUP(A60,'HECVAT - Full'!A$24:B$312,2,FALSE)</f>
        <v>Can we restrict that access based on source IP address?</v>
      </c>
      <c r="C60" s="38"/>
      <c r="D60" s="38"/>
      <c r="E60" s="37" t="s">
        <v>636</v>
      </c>
      <c r="F60" s="37" t="s">
        <v>697</v>
      </c>
      <c r="G60" s="47"/>
      <c r="H60" s="38"/>
      <c r="I60" s="38"/>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15">
      <c r="A61" s="304" t="str">
        <f>IF($C$30="","Application/Service Security",IF($C$30="Yes","App/Service Security - Optional based on QUALIFIER response.","Application/Service Security"))</f>
        <v>Application/Service Security</v>
      </c>
      <c r="B61" s="304"/>
      <c r="C61" s="36" t="str">
        <f>$C$22</f>
        <v>CIS Critical Security Controls v6.1</v>
      </c>
      <c r="D61" s="36" t="str">
        <f>$D$22</f>
        <v>HIPAA</v>
      </c>
      <c r="E61" s="36" t="str">
        <f>$E$22</f>
        <v>ISO 27002:2013</v>
      </c>
      <c r="F61" s="36" t="str">
        <f>$F$22</f>
        <v>NIST Cybersecurity Framework</v>
      </c>
      <c r="G61" s="25" t="str">
        <f>$G$22</f>
        <v>NIST SP 800-171r1</v>
      </c>
      <c r="H61" s="36" t="str">
        <f>$H$22</f>
        <v>NIST SP 800-53r4</v>
      </c>
      <c r="I61" s="167" t="s">
        <v>2044</v>
      </c>
    </row>
    <row r="62" spans="1:259" ht="49.25" customHeight="1" x14ac:dyDescent="0.15">
      <c r="A62" s="15" t="s">
        <v>194</v>
      </c>
      <c r="B62" s="30" t="str">
        <f>VLOOKUP(A62,'HECVAT - Full'!A$24:B$312,2,FALSE)</f>
        <v>Do you support role-based access control (RBAC) for end-users?</v>
      </c>
      <c r="C62" s="37" t="s">
        <v>568</v>
      </c>
      <c r="D62" s="38"/>
      <c r="E62" s="38"/>
      <c r="F62" s="37" t="s">
        <v>768</v>
      </c>
      <c r="G62" s="47"/>
      <c r="H62" s="38"/>
      <c r="I62" s="38"/>
    </row>
    <row r="63" spans="1:259" ht="48" customHeight="1" x14ac:dyDescent="0.15">
      <c r="A63" s="15" t="s">
        <v>195</v>
      </c>
      <c r="B63" s="30" t="str">
        <f>VLOOKUP(A63,'HECVAT - Full'!A$24:B$312,2,FALSE)</f>
        <v>Do you support role-based access control (RBAC) for system administrators?</v>
      </c>
      <c r="C63" s="37" t="s">
        <v>577</v>
      </c>
      <c r="D63" s="38"/>
      <c r="E63" s="37" t="s">
        <v>624</v>
      </c>
      <c r="F63" s="37" t="s">
        <v>768</v>
      </c>
      <c r="G63" s="47"/>
      <c r="H63" s="38"/>
      <c r="I63" s="38"/>
    </row>
    <row r="64" spans="1:259" ht="48" customHeight="1" x14ac:dyDescent="0.15">
      <c r="A64" s="15" t="s">
        <v>538</v>
      </c>
      <c r="B64" s="30" t="str">
        <f>VLOOKUP(A64,'HECVAT - Full'!A$24:B$312,2,FALSE)</f>
        <v>Can employees access customer data remotely?</v>
      </c>
      <c r="C64" s="168" t="s">
        <v>570</v>
      </c>
      <c r="D64" s="169"/>
      <c r="E64" s="168">
        <v>6.2</v>
      </c>
      <c r="F64" s="168" t="s">
        <v>771</v>
      </c>
      <c r="G64" s="168" t="s">
        <v>701</v>
      </c>
      <c r="H64" s="168" t="s">
        <v>831</v>
      </c>
      <c r="I64" s="168" t="s">
        <v>2108</v>
      </c>
    </row>
    <row r="65" spans="1:259" ht="64.25" customHeight="1" x14ac:dyDescent="0.15">
      <c r="A65" s="15" t="s">
        <v>196</v>
      </c>
      <c r="B65" s="30" t="str">
        <f>VLOOKUP(A65,'HECVAT - Full'!A$24:B$312,2,FALSE)</f>
        <v>Can you provide overall system and/or application architecture diagrams including a full description of the data communications architecture for all components of the system?</v>
      </c>
      <c r="C65" s="37" t="s">
        <v>571</v>
      </c>
      <c r="D65" s="38"/>
      <c r="E65" s="37" t="s">
        <v>626</v>
      </c>
      <c r="F65" s="37" t="s">
        <v>770</v>
      </c>
      <c r="G65" s="46" t="s">
        <v>704</v>
      </c>
      <c r="H65" s="37" t="s">
        <v>830</v>
      </c>
      <c r="I65" s="168" t="s">
        <v>2108</v>
      </c>
    </row>
    <row r="66" spans="1:259" ht="63" customHeight="1" x14ac:dyDescent="0.15">
      <c r="A66" s="190" t="s">
        <v>197</v>
      </c>
      <c r="B66" s="30" t="str">
        <f>VLOOKUP(A66,'HECVAT - Full'!A$24:B$312,2,FALSE)</f>
        <v xml:space="preserve">Does the system provide data input validation and error messages? </v>
      </c>
      <c r="C66" s="37" t="s">
        <v>568</v>
      </c>
      <c r="D66" s="38"/>
      <c r="E66" s="38"/>
      <c r="F66" s="37" t="s">
        <v>768</v>
      </c>
      <c r="G66" s="38"/>
      <c r="H66" s="38"/>
      <c r="I66" s="38"/>
    </row>
    <row r="67" spans="1:259" ht="53" customHeight="1" x14ac:dyDescent="0.15">
      <c r="A67" s="15" t="s">
        <v>198</v>
      </c>
      <c r="B67" s="30" t="str">
        <f>VLOOKUP(A67,'HECVAT - Full'!A$24:B$312,2,FALSE)</f>
        <v xml:space="preserve">Do you employ a single-tenant environment? </v>
      </c>
      <c r="C67" s="168" t="s">
        <v>572</v>
      </c>
      <c r="D67" s="169"/>
      <c r="E67" s="168">
        <v>6.2</v>
      </c>
      <c r="F67" s="168" t="s">
        <v>772</v>
      </c>
      <c r="G67" s="168" t="s">
        <v>705</v>
      </c>
      <c r="H67" s="168" t="s">
        <v>832</v>
      </c>
      <c r="I67" s="169"/>
    </row>
    <row r="68" spans="1:259" ht="80" customHeight="1" x14ac:dyDescent="0.15">
      <c r="A68" s="15" t="s">
        <v>199</v>
      </c>
      <c r="B68" s="30" t="str">
        <f>VLOOKUP(A68,'HECVAT - Full'!A$24:B$312,2,FALSE)</f>
        <v>What operating system(s) is/are leveraged by the system(s)/application(s) that will have access to institution's data?</v>
      </c>
      <c r="C68" s="168" t="s">
        <v>573</v>
      </c>
      <c r="D68" s="169"/>
      <c r="E68" s="168" t="s">
        <v>627</v>
      </c>
      <c r="F68" s="168" t="s">
        <v>772</v>
      </c>
      <c r="G68" s="169"/>
      <c r="H68" s="168" t="s">
        <v>831</v>
      </c>
      <c r="I68" s="169"/>
    </row>
    <row r="69" spans="1:259" s="1" customFormat="1" ht="80" customHeight="1" x14ac:dyDescent="0.2">
      <c r="A69" s="15" t="s">
        <v>200</v>
      </c>
      <c r="B69" s="30" t="str">
        <f>VLOOKUP(A69,'HECVAT - Full'!A$24:B$312,2,FALSE)</f>
        <v>Have you or any third party you contract with that may have access or allow access to the institution's data experienced a breach?</v>
      </c>
      <c r="C69" s="169"/>
      <c r="D69" s="169"/>
      <c r="E69" s="168">
        <v>16</v>
      </c>
      <c r="F69" s="169"/>
      <c r="G69" s="169"/>
      <c r="H69" s="169"/>
      <c r="I69" s="168" t="s">
        <v>2109</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15">
      <c r="A70" s="15" t="s">
        <v>201</v>
      </c>
      <c r="B70" s="30" t="str">
        <f>VLOOKUP(A70,'HECVAT - Full'!A$24:B$312,2,FALSE)</f>
        <v xml:space="preserve">Describe or provide a reference to additional software/products necessary to implement a functional system on either the backend or user-interface side of the system. </v>
      </c>
      <c r="C70" s="168" t="s">
        <v>573</v>
      </c>
      <c r="D70" s="169"/>
      <c r="E70" s="168" t="s">
        <v>627</v>
      </c>
      <c r="F70" s="168" t="s">
        <v>773</v>
      </c>
      <c r="G70" s="169"/>
      <c r="H70" s="169"/>
      <c r="I70" s="169"/>
    </row>
    <row r="71" spans="1:259" ht="64.25" customHeight="1" x14ac:dyDescent="0.15">
      <c r="A71" s="15" t="s">
        <v>202</v>
      </c>
      <c r="B71" s="30"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68" t="s">
        <v>573</v>
      </c>
      <c r="D71" s="169"/>
      <c r="E71" s="168" t="s">
        <v>628</v>
      </c>
      <c r="F71" s="168" t="s">
        <v>774</v>
      </c>
      <c r="G71" s="169"/>
      <c r="H71" s="168" t="s">
        <v>833</v>
      </c>
      <c r="I71" s="168">
        <v>2.4</v>
      </c>
    </row>
    <row r="72" spans="1:259" ht="64.25" customHeight="1" x14ac:dyDescent="0.15">
      <c r="A72" s="15" t="s">
        <v>203</v>
      </c>
      <c r="B72" s="30" t="str">
        <f>VLOOKUP(A72,'HECVAT - Full'!A$24:B$312,2,FALSE)</f>
        <v>Are databases used in the system segregated from front-end systems? (e.g. web and application servers)</v>
      </c>
      <c r="C72" s="168" t="s">
        <v>567</v>
      </c>
      <c r="D72" s="169"/>
      <c r="E72" s="168" t="s">
        <v>629</v>
      </c>
      <c r="F72" s="169"/>
      <c r="G72" s="169"/>
      <c r="H72" s="169"/>
      <c r="I72" s="169"/>
    </row>
    <row r="73" spans="1:259" ht="48" customHeight="1" x14ac:dyDescent="0.15">
      <c r="A73" s="15" t="s">
        <v>204</v>
      </c>
      <c r="B73" s="30" t="str">
        <f>VLOOKUP(A73,'HECVAT - Full'!A$24:B$312,2,FALSE)</f>
        <v xml:space="preserve">Describe or provide a reference to all web-enabled features and functionality of the system (i.e. accessed via a web-based interface). </v>
      </c>
      <c r="C73" s="168" t="s">
        <v>574</v>
      </c>
      <c r="D73" s="169"/>
      <c r="E73" s="168" t="s">
        <v>628</v>
      </c>
      <c r="F73" s="169"/>
      <c r="G73" s="169"/>
      <c r="H73" s="169"/>
      <c r="I73" s="169"/>
    </row>
    <row r="74" spans="1:259" ht="65" customHeight="1" x14ac:dyDescent="0.15">
      <c r="A74" s="15" t="s">
        <v>205</v>
      </c>
      <c r="B74" s="30" t="str">
        <f>VLOOKUP(A74,'HECVAT - Full'!A$24:B$312,2,FALSE)</f>
        <v>Are there any OS and/or web-browser combinations that are not currently supported?</v>
      </c>
      <c r="C74" s="168" t="s">
        <v>574</v>
      </c>
      <c r="D74" s="169"/>
      <c r="E74" s="168" t="s">
        <v>627</v>
      </c>
      <c r="F74" s="169"/>
      <c r="G74" s="169"/>
      <c r="H74" s="169"/>
      <c r="I74" s="169"/>
    </row>
    <row r="75" spans="1:259" ht="65" customHeight="1" x14ac:dyDescent="0.15">
      <c r="A75" s="15" t="s">
        <v>206</v>
      </c>
      <c r="B75" s="30" t="str">
        <f>VLOOKUP(A75,'HECVAT - Full'!A$24:B$312,2,FALSE)</f>
        <v xml:space="preserve">Can your system take advantage of mobile and/or GPS enabled mobile devices?  </v>
      </c>
      <c r="C75" s="168" t="s">
        <v>573</v>
      </c>
      <c r="D75" s="169"/>
      <c r="E75" s="169"/>
      <c r="F75" s="169"/>
      <c r="G75" s="169"/>
      <c r="H75" s="169"/>
      <c r="I75" s="169"/>
    </row>
    <row r="76" spans="1:259" ht="63" customHeight="1" x14ac:dyDescent="0.15">
      <c r="A76" s="15" t="s">
        <v>539</v>
      </c>
      <c r="B76" s="30" t="str">
        <f>VLOOKUP(A76,'HECVAT - Full'!A$24:B$312,2,FALSE)</f>
        <v>Describe or provide a reference to the facilities available in the system to provide separation of duties between security administration and system administration functions.</v>
      </c>
      <c r="C76" s="168" t="s">
        <v>570</v>
      </c>
      <c r="D76" s="169"/>
      <c r="E76" s="168" t="s">
        <v>631</v>
      </c>
      <c r="F76" s="168" t="s">
        <v>770</v>
      </c>
      <c r="G76" s="168" t="s">
        <v>706</v>
      </c>
      <c r="H76" s="168" t="s">
        <v>834</v>
      </c>
      <c r="I76" s="168" t="s">
        <v>2110</v>
      </c>
    </row>
    <row r="77" spans="1:259" ht="65" customHeight="1" x14ac:dyDescent="0.15">
      <c r="A77" s="15" t="s">
        <v>207</v>
      </c>
      <c r="B77" s="30" t="str">
        <f>VLOOKUP(A77,'HECVAT - Full'!A$24:B$312,2,FALSE)</f>
        <v>Describe or provide a reference that details how administrator access is handled (e.g. provisioning, principle of least privilege, deprovisioning, etc.)</v>
      </c>
      <c r="C77" s="168" t="s">
        <v>575</v>
      </c>
      <c r="D77" s="169"/>
      <c r="E77" s="168">
        <v>9.1999999999999993</v>
      </c>
      <c r="F77" s="168" t="s">
        <v>770</v>
      </c>
      <c r="G77" s="168" t="s">
        <v>707</v>
      </c>
      <c r="H77" s="168" t="s">
        <v>835</v>
      </c>
      <c r="I77" s="168" t="s">
        <v>2111</v>
      </c>
    </row>
    <row r="78" spans="1:259" ht="65" customHeight="1" x14ac:dyDescent="0.15">
      <c r="A78" s="15" t="s">
        <v>208</v>
      </c>
      <c r="B78" s="30" t="str">
        <f>VLOOKUP(A78,'HECVAT - Full'!A$24:B$312,2,FALSE)</f>
        <v>Describe or provide references explaining how tertiary services are redundant (i.e. DNS, ISP, etc.).</v>
      </c>
      <c r="C78" s="168" t="s">
        <v>570</v>
      </c>
      <c r="D78" s="169"/>
      <c r="E78" s="168" t="s">
        <v>626</v>
      </c>
      <c r="F78" s="168" t="s">
        <v>769</v>
      </c>
      <c r="G78" s="168" t="s">
        <v>701</v>
      </c>
      <c r="H78" s="169"/>
      <c r="I78" s="169"/>
    </row>
    <row r="79" spans="1:259" ht="36" customHeight="1" x14ac:dyDescent="0.15">
      <c r="A79" s="304" t="str">
        <f>IF($C$30="","Authentication, Authorization, and Accounting",IF($C$30="Yes","AAA - Optional based on QUALIFIER response.","Authentication, Authorization, and Accounting"))</f>
        <v>Authentication, Authorization, and Accounting</v>
      </c>
      <c r="B79" s="304"/>
      <c r="C79" s="36" t="str">
        <f>$C$22</f>
        <v>CIS Critical Security Controls v6.1</v>
      </c>
      <c r="D79" s="36" t="str">
        <f>$D$22</f>
        <v>HIPAA</v>
      </c>
      <c r="E79" s="36" t="str">
        <f>$E$22</f>
        <v>ISO 27002:2013</v>
      </c>
      <c r="F79" s="36" t="str">
        <f>$F$22</f>
        <v>NIST Cybersecurity Framework</v>
      </c>
      <c r="G79" s="25" t="str">
        <f>$G$22</f>
        <v>NIST SP 800-171r1</v>
      </c>
      <c r="H79" s="36" t="str">
        <f>$H$22</f>
        <v>NIST SP 800-53r4</v>
      </c>
      <c r="I79" s="167" t="s">
        <v>2044</v>
      </c>
    </row>
    <row r="80" spans="1:259" ht="36" customHeight="1" x14ac:dyDescent="0.15">
      <c r="A80" s="15" t="s">
        <v>210</v>
      </c>
      <c r="B80" s="30" t="str">
        <f>VLOOKUP(A80,'HECVAT - Full'!A$24:B$312,2,FALSE)</f>
        <v>Can you enforce password/passphrase aging requirements?</v>
      </c>
      <c r="C80" s="37" t="s">
        <v>576</v>
      </c>
      <c r="D80" s="41"/>
      <c r="E80" s="37" t="s">
        <v>634</v>
      </c>
      <c r="F80" s="37" t="s">
        <v>776</v>
      </c>
      <c r="G80" s="46" t="s">
        <v>708</v>
      </c>
      <c r="H80" s="37" t="s">
        <v>836</v>
      </c>
      <c r="I80" s="37" t="s">
        <v>2113</v>
      </c>
    </row>
    <row r="81" spans="1:9" ht="48" customHeight="1" x14ac:dyDescent="0.15">
      <c r="A81" s="15" t="s">
        <v>211</v>
      </c>
      <c r="B81" s="30" t="str">
        <f>VLOOKUP(A81,'HECVAT - Full'!A$24:B$312,2,FALSE)</f>
        <v>Can you enforce password/passphrase complexity requirements [provided by the institution]?</v>
      </c>
      <c r="C81" s="37" t="s">
        <v>576</v>
      </c>
      <c r="D81" s="41"/>
      <c r="E81" s="37" t="s">
        <v>634</v>
      </c>
      <c r="F81" s="37" t="s">
        <v>776</v>
      </c>
      <c r="G81" s="46" t="s">
        <v>709</v>
      </c>
      <c r="H81" s="37" t="s">
        <v>837</v>
      </c>
      <c r="I81" s="37" t="s">
        <v>2113</v>
      </c>
    </row>
    <row r="82" spans="1:9" ht="48" customHeight="1" x14ac:dyDescent="0.15">
      <c r="A82" s="15" t="s">
        <v>212</v>
      </c>
      <c r="B82" s="30" t="str">
        <f>VLOOKUP(A82,'HECVAT - Full'!A$24:B$312,2,FALSE)</f>
        <v>Does the system have password complexity or length limitations and/or restrictions?</v>
      </c>
      <c r="C82" s="37" t="s">
        <v>576</v>
      </c>
      <c r="D82" s="41"/>
      <c r="E82" s="37" t="s">
        <v>634</v>
      </c>
      <c r="F82" s="37" t="s">
        <v>776</v>
      </c>
      <c r="G82" s="47"/>
      <c r="H82" s="38"/>
      <c r="I82" s="37" t="s">
        <v>2113</v>
      </c>
    </row>
    <row r="83" spans="1:9" ht="65" customHeight="1" x14ac:dyDescent="0.15">
      <c r="A83" s="15" t="s">
        <v>213</v>
      </c>
      <c r="B83" s="30" t="str">
        <f>VLOOKUP(A83,'HECVAT - Full'!A$24:B$312,2,FALSE)</f>
        <v>Do you have documented password/passphrase reset procedures that are currently implemented in the system and/or customer support?</v>
      </c>
      <c r="C83" s="37" t="s">
        <v>576</v>
      </c>
      <c r="D83" s="41"/>
      <c r="E83" s="37" t="s">
        <v>634</v>
      </c>
      <c r="F83" s="37" t="s">
        <v>776</v>
      </c>
      <c r="G83" s="46" t="s">
        <v>710</v>
      </c>
      <c r="H83" s="37" t="s">
        <v>836</v>
      </c>
      <c r="I83" s="37" t="s">
        <v>2114</v>
      </c>
    </row>
    <row r="84" spans="1:9" ht="65" customHeight="1" x14ac:dyDescent="0.15">
      <c r="A84" s="15" t="s">
        <v>214</v>
      </c>
      <c r="B84" s="30" t="str">
        <f>VLOOKUP(A84,'HECVAT - Full'!A$24:B$312,2,FALSE)</f>
        <v>Does your web-based interface support authentication, including standards-based single-sign-on? (e.g. InCommon)</v>
      </c>
      <c r="C84" s="37" t="s">
        <v>576</v>
      </c>
      <c r="D84" s="41"/>
      <c r="E84" s="37" t="s">
        <v>635</v>
      </c>
      <c r="F84" s="37" t="s">
        <v>776</v>
      </c>
      <c r="G84" s="46" t="s">
        <v>711</v>
      </c>
      <c r="H84" s="37" t="s">
        <v>838</v>
      </c>
      <c r="I84" s="37" t="s">
        <v>2113</v>
      </c>
    </row>
    <row r="85" spans="1:9" ht="48" customHeight="1" x14ac:dyDescent="0.15">
      <c r="A85" s="15" t="s">
        <v>215</v>
      </c>
      <c r="B85" s="30" t="str">
        <f>VLOOKUP(A85,'HECVAT - Full'!A$24:B$312,2,FALSE)</f>
        <v>Are there any passwords/passphrases hard coded into your systems or products?</v>
      </c>
      <c r="C85" s="37" t="s">
        <v>576</v>
      </c>
      <c r="D85" s="41"/>
      <c r="E85" s="37" t="s">
        <v>636</v>
      </c>
      <c r="F85" s="38"/>
      <c r="G85" s="47"/>
      <c r="H85" s="38"/>
      <c r="I85" s="37" t="s">
        <v>2114</v>
      </c>
    </row>
    <row r="86" spans="1:9" ht="36" customHeight="1" x14ac:dyDescent="0.15">
      <c r="A86" s="15" t="s">
        <v>216</v>
      </c>
      <c r="B86" s="30" t="str">
        <f>VLOOKUP(A86,'HECVAT - Full'!A$24:B$312,2,FALSE)</f>
        <v>Are user account passwords/passphrases visible in administration modules?</v>
      </c>
      <c r="C86" s="37" t="s">
        <v>576</v>
      </c>
      <c r="D86" s="41"/>
      <c r="E86" s="37" t="s">
        <v>636</v>
      </c>
      <c r="F86" s="37" t="s">
        <v>776</v>
      </c>
      <c r="G86" s="47"/>
      <c r="H86" s="38"/>
      <c r="I86" s="37" t="s">
        <v>2113</v>
      </c>
    </row>
    <row r="87" spans="1:9" ht="36" customHeight="1" x14ac:dyDescent="0.15">
      <c r="A87" s="15" t="s">
        <v>217</v>
      </c>
      <c r="B87" s="30" t="str">
        <f>VLOOKUP(A87,'HECVAT - Full'!A$24:B$312,2,FALSE)</f>
        <v>Are user account passwords/passphrases stored encrypted?</v>
      </c>
      <c r="C87" s="37" t="s">
        <v>576</v>
      </c>
      <c r="D87" s="41"/>
      <c r="E87" s="37" t="s">
        <v>636</v>
      </c>
      <c r="F87" s="37" t="s">
        <v>776</v>
      </c>
      <c r="G87" s="46" t="s">
        <v>712</v>
      </c>
      <c r="H87" s="37" t="s">
        <v>837</v>
      </c>
      <c r="I87" s="37" t="s">
        <v>2113</v>
      </c>
    </row>
    <row r="88" spans="1:9" ht="47" customHeight="1" x14ac:dyDescent="0.15">
      <c r="A88" s="15" t="s">
        <v>218</v>
      </c>
      <c r="B88" s="30" t="str">
        <f>VLOOKUP(A88,'HECVAT - Full'!A$24:B$312,2,FALSE)</f>
        <v>Does your application and/or user-frontend/portal support multi-factor authentication? (e.g. Duo, Google Authenticator, OTP, etc.)</v>
      </c>
      <c r="C88" s="37" t="s">
        <v>576</v>
      </c>
      <c r="D88" s="41"/>
      <c r="E88" s="37" t="s">
        <v>636</v>
      </c>
      <c r="F88" s="37" t="s">
        <v>769</v>
      </c>
      <c r="G88" s="46" t="s">
        <v>713</v>
      </c>
      <c r="H88" s="37" t="s">
        <v>839</v>
      </c>
      <c r="I88" s="37" t="s">
        <v>2113</v>
      </c>
    </row>
    <row r="89" spans="1:9" ht="53" customHeight="1" x14ac:dyDescent="0.15">
      <c r="A89" s="15" t="s">
        <v>219</v>
      </c>
      <c r="B89" s="30" t="str">
        <f>VLOOKUP(A89,'HECVAT - Full'!A$24:B$312,2,FALSE)</f>
        <v>Does your application support integration with other authentication and authorization systems?  List which ones (such as Active Directory, Kerberos and what version) in Additional Info?</v>
      </c>
      <c r="C89" s="37" t="s">
        <v>576</v>
      </c>
      <c r="D89" s="41"/>
      <c r="E89" s="37" t="s">
        <v>632</v>
      </c>
      <c r="F89" s="37" t="s">
        <v>777</v>
      </c>
      <c r="G89" s="47"/>
      <c r="H89" s="38"/>
      <c r="I89" s="38"/>
    </row>
    <row r="90" spans="1:9" ht="47" customHeight="1" x14ac:dyDescent="0.15">
      <c r="A90" s="15" t="s">
        <v>220</v>
      </c>
      <c r="B90" s="30" t="str">
        <f>VLOOKUP(A90,'HECVAT - Full'!A$24:B$312,2,FALSE)</f>
        <v>Will any external authentication or authorization system be utilized by an application with access to the institution's data?</v>
      </c>
      <c r="C90" s="37" t="s">
        <v>576</v>
      </c>
      <c r="D90" s="41"/>
      <c r="E90" s="37" t="s">
        <v>636</v>
      </c>
      <c r="F90" s="37" t="s">
        <v>777</v>
      </c>
      <c r="G90" s="47"/>
      <c r="H90" s="38"/>
      <c r="I90" s="37" t="s">
        <v>2113</v>
      </c>
    </row>
    <row r="91" spans="1:9" ht="54" customHeight="1" x14ac:dyDescent="0.15">
      <c r="A91" s="15" t="s">
        <v>221</v>
      </c>
      <c r="B91" s="30" t="str">
        <f>VLOOKUP(A91,'HECVAT - Full'!A$24:B$312,2,FALSE)</f>
        <v>Does the system (servers/infrastructure) support external authentication services (e.g. Active Directory, LDAP) in place of local authentication?</v>
      </c>
      <c r="C91" s="37" t="s">
        <v>576</v>
      </c>
      <c r="D91" s="41"/>
      <c r="E91" s="37" t="s">
        <v>632</v>
      </c>
      <c r="F91" s="37" t="s">
        <v>777</v>
      </c>
      <c r="G91" s="47"/>
      <c r="H91" s="38"/>
      <c r="I91" s="38"/>
    </row>
    <row r="92" spans="1:9" ht="54" customHeight="1" x14ac:dyDescent="0.15">
      <c r="A92" s="15" t="s">
        <v>222</v>
      </c>
      <c r="B92" s="30" t="str">
        <f>VLOOKUP(A92,'HECVAT - Full'!A$24:B$312,2,FALSE)</f>
        <v>Does the system operate in a mixed authentication mode (i.e. external and local authentication)?</v>
      </c>
      <c r="C92" s="37" t="s">
        <v>576</v>
      </c>
      <c r="D92" s="41"/>
      <c r="E92" s="38"/>
      <c r="F92" s="37" t="s">
        <v>777</v>
      </c>
      <c r="G92" s="47"/>
      <c r="H92" s="38"/>
      <c r="I92" s="38"/>
    </row>
    <row r="93" spans="1:9" ht="47" customHeight="1" x14ac:dyDescent="0.15">
      <c r="A93" s="15" t="s">
        <v>223</v>
      </c>
      <c r="B93" s="30" t="str">
        <f>VLOOKUP(A93,'HECVAT - Full'!A$24:B$312,2,FALSE)</f>
        <v>Will any external authentication or authorization system be utilized by a system with access to institution data?</v>
      </c>
      <c r="C93" s="37" t="s">
        <v>576</v>
      </c>
      <c r="D93" s="41"/>
      <c r="E93" s="38"/>
      <c r="F93" s="37" t="s">
        <v>777</v>
      </c>
      <c r="G93" s="46" t="s">
        <v>714</v>
      </c>
      <c r="H93" s="38"/>
      <c r="I93" s="37" t="s">
        <v>2113</v>
      </c>
    </row>
    <row r="94" spans="1:9" ht="48" customHeight="1" x14ac:dyDescent="0.15">
      <c r="A94" s="15" t="s">
        <v>224</v>
      </c>
      <c r="B94" s="30" t="str">
        <f>VLOOKUP(A94,'HECVAT - Full'!A$24:B$312,2,FALSE)</f>
        <v>Are audit logs available that include AT LEAST all of the following; login, logout, actions performed, and source IP address?</v>
      </c>
      <c r="C94" s="37" t="s">
        <v>578</v>
      </c>
      <c r="D94" s="41"/>
      <c r="E94" s="37" t="s">
        <v>633</v>
      </c>
      <c r="F94" s="37" t="s">
        <v>778</v>
      </c>
      <c r="G94" s="46" t="s">
        <v>715</v>
      </c>
      <c r="H94" s="37" t="s">
        <v>840</v>
      </c>
      <c r="I94" s="37" t="s">
        <v>2115</v>
      </c>
    </row>
    <row r="95" spans="1:9" ht="84" customHeight="1" x14ac:dyDescent="0.15">
      <c r="A95" s="15" t="s">
        <v>225</v>
      </c>
      <c r="B95" s="30"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7" t="s">
        <v>578</v>
      </c>
      <c r="D95" s="41"/>
      <c r="E95" s="37" t="s">
        <v>633</v>
      </c>
      <c r="F95" s="37" t="s">
        <v>778</v>
      </c>
      <c r="G95" s="46" t="s">
        <v>716</v>
      </c>
      <c r="H95" s="37" t="s">
        <v>841</v>
      </c>
      <c r="I95" s="37" t="s">
        <v>2116</v>
      </c>
    </row>
    <row r="96" spans="1:9" ht="64.25" customHeight="1" x14ac:dyDescent="0.15">
      <c r="A96" s="15" t="s">
        <v>226</v>
      </c>
      <c r="B96" s="30" t="str">
        <f>VLOOKUP(A96,'HECVAT - Full'!A$24:B$312,2,FALSE)</f>
        <v>Describe or provide a reference to the retention period for those logs, how logs are protected, and whether they are accessible to the customer (and if so, how).</v>
      </c>
      <c r="C96" s="37" t="s">
        <v>578</v>
      </c>
      <c r="D96" s="41"/>
      <c r="E96" s="37" t="s">
        <v>633</v>
      </c>
      <c r="F96" s="37" t="s">
        <v>778</v>
      </c>
      <c r="G96" s="46" t="s">
        <v>717</v>
      </c>
      <c r="H96" s="37" t="s">
        <v>842</v>
      </c>
      <c r="I96" s="37">
        <v>10.7</v>
      </c>
    </row>
    <row r="97" spans="1:259" s="35" customFormat="1" ht="36" customHeight="1" x14ac:dyDescent="0.15">
      <c r="A97" s="304" t="str">
        <f>IF(OR($C$27="No",$C$30="Yes"),"BCP - Optional based on QUALIFIER response.","Business Continuity Plan")</f>
        <v>Business Continuity Plan</v>
      </c>
      <c r="B97" s="304"/>
      <c r="C97" s="36" t="str">
        <f>$C$22</f>
        <v>CIS Critical Security Controls v6.1</v>
      </c>
      <c r="D97" s="36" t="str">
        <f>$D$22</f>
        <v>HIPAA</v>
      </c>
      <c r="E97" s="36" t="str">
        <f>$E$22</f>
        <v>ISO 27002:2013</v>
      </c>
      <c r="F97" s="36" t="str">
        <f>$F$22</f>
        <v>NIST Cybersecurity Framework</v>
      </c>
      <c r="G97" s="25" t="str">
        <f>$G$22</f>
        <v>NIST SP 800-171r1</v>
      </c>
      <c r="H97" s="36" t="str">
        <f>$H$22</f>
        <v>NIST SP 800-53r4</v>
      </c>
      <c r="I97" s="167" t="s">
        <v>2044</v>
      </c>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row>
    <row r="98" spans="1:259" ht="48" customHeight="1" x14ac:dyDescent="0.15">
      <c r="A98" s="15" t="s">
        <v>209</v>
      </c>
      <c r="B98" s="30" t="str">
        <f>VLOOKUP(A98,'HECVAT - Full'!A$24:B$312,2,FALSE)</f>
        <v>Describe or provide a reference to your Business Continuity Plan (BCP).</v>
      </c>
      <c r="C98" s="37" t="s">
        <v>569</v>
      </c>
      <c r="D98" s="41"/>
      <c r="E98" s="37" t="s">
        <v>639</v>
      </c>
      <c r="F98" s="37" t="s">
        <v>698</v>
      </c>
      <c r="G98" s="46" t="s">
        <v>718</v>
      </c>
      <c r="H98" s="37" t="s">
        <v>843</v>
      </c>
      <c r="I98" s="47"/>
    </row>
    <row r="99" spans="1:259" ht="47" customHeight="1" x14ac:dyDescent="0.15">
      <c r="A99" s="15" t="s">
        <v>227</v>
      </c>
      <c r="B99" s="30" t="str">
        <f>VLOOKUP(A99,'HECVAT - Full'!A$24:B$312,2,FALSE)</f>
        <v>May the Institution review your BCP and supporting documentation?</v>
      </c>
      <c r="C99" s="37" t="s">
        <v>569</v>
      </c>
      <c r="D99" s="41"/>
      <c r="E99" s="38"/>
      <c r="F99" s="37" t="s">
        <v>698</v>
      </c>
      <c r="G99" s="46" t="s">
        <v>718</v>
      </c>
      <c r="H99" s="37" t="s">
        <v>844</v>
      </c>
      <c r="I99" s="47"/>
    </row>
    <row r="100" spans="1:259" ht="47" customHeight="1" x14ac:dyDescent="0.15">
      <c r="A100" s="15" t="s">
        <v>228</v>
      </c>
      <c r="B100" s="30" t="str">
        <f>VLOOKUP(A100,'HECVAT - Full'!A$24:B$312,2,FALSE)</f>
        <v>Is an owner assigned who is responsible for the maintenance and review of the Business Continuity Plan?</v>
      </c>
      <c r="C100" s="37" t="s">
        <v>569</v>
      </c>
      <c r="D100" s="41"/>
      <c r="E100" s="37" t="s">
        <v>639</v>
      </c>
      <c r="F100" s="37" t="s">
        <v>698</v>
      </c>
      <c r="G100" s="46" t="s">
        <v>718</v>
      </c>
      <c r="H100" s="37" t="s">
        <v>843</v>
      </c>
      <c r="I100" s="47"/>
    </row>
    <row r="101" spans="1:259" ht="47" customHeight="1" x14ac:dyDescent="0.15">
      <c r="A101" s="15" t="s">
        <v>229</v>
      </c>
      <c r="B101" s="30" t="str">
        <f>VLOOKUP(A101,'HECVAT - Full'!A$24:B$312,2,FALSE)</f>
        <v>Is there a defined problem/issue escalation plan in your BCP for impacted clients?</v>
      </c>
      <c r="C101" s="37" t="s">
        <v>569</v>
      </c>
      <c r="D101" s="41"/>
      <c r="E101" s="37" t="s">
        <v>642</v>
      </c>
      <c r="F101" s="37" t="s">
        <v>698</v>
      </c>
      <c r="G101" s="46" t="s">
        <v>718</v>
      </c>
      <c r="H101" s="37" t="s">
        <v>843</v>
      </c>
      <c r="I101" s="47"/>
    </row>
    <row r="102" spans="1:259" ht="47" customHeight="1" x14ac:dyDescent="0.15">
      <c r="A102" s="15" t="s">
        <v>230</v>
      </c>
      <c r="B102" s="30" t="str">
        <f>VLOOKUP(A102,'HECVAT - Full'!A$24:B$312,2,FALSE)</f>
        <v>Is there a documented communication plan in your BCP for impacted clients?</v>
      </c>
      <c r="C102" s="37" t="s">
        <v>569</v>
      </c>
      <c r="D102" s="41"/>
      <c r="E102" s="37" t="s">
        <v>616</v>
      </c>
      <c r="F102" s="37" t="s">
        <v>698</v>
      </c>
      <c r="G102" s="46" t="s">
        <v>718</v>
      </c>
      <c r="H102" s="37" t="s">
        <v>843</v>
      </c>
      <c r="I102" s="47"/>
    </row>
    <row r="103" spans="1:259" ht="48" customHeight="1" x14ac:dyDescent="0.15">
      <c r="A103" s="15" t="s">
        <v>231</v>
      </c>
      <c r="B103" s="30" t="str">
        <f>VLOOKUP(A103,'HECVAT - Full'!A$24:B$312,2,FALSE)</f>
        <v xml:space="preserve">Are all components of the BCP reviewed at least annually and updated as needed to reflect change? </v>
      </c>
      <c r="C103" s="37" t="s">
        <v>569</v>
      </c>
      <c r="D103" s="41"/>
      <c r="E103" s="37" t="s">
        <v>616</v>
      </c>
      <c r="F103" s="37" t="s">
        <v>698</v>
      </c>
      <c r="G103" s="46" t="s">
        <v>718</v>
      </c>
      <c r="H103" s="105" t="s">
        <v>843</v>
      </c>
      <c r="I103" s="47"/>
    </row>
    <row r="104" spans="1:259" ht="48" customHeight="1" x14ac:dyDescent="0.15">
      <c r="A104" s="15" t="s">
        <v>232</v>
      </c>
      <c r="B104" s="30" t="str">
        <f>VLOOKUP(A104,'HECVAT - Full'!A$24:B$312,2,FALSE)</f>
        <v xml:space="preserve">Has your BCP been tested in the last year? </v>
      </c>
      <c r="C104" s="37" t="s">
        <v>569</v>
      </c>
      <c r="D104" s="41"/>
      <c r="E104" s="37" t="s">
        <v>640</v>
      </c>
      <c r="F104" s="37" t="s">
        <v>698</v>
      </c>
      <c r="G104" s="46" t="s">
        <v>718</v>
      </c>
      <c r="H104" s="37" t="s">
        <v>843</v>
      </c>
      <c r="I104" s="47"/>
    </row>
    <row r="105" spans="1:259" ht="47" customHeight="1" x14ac:dyDescent="0.15">
      <c r="A105" s="15" t="s">
        <v>233</v>
      </c>
      <c r="B105" s="30" t="str">
        <f>VLOOKUP(A105,'HECVAT - Full'!A$24:B$312,2,FALSE)</f>
        <v>Does your organization conduct training and awareness activities to validate its employees understanding of their roles and responsibilities during a crisis?</v>
      </c>
      <c r="C105" s="37" t="s">
        <v>569</v>
      </c>
      <c r="D105" s="41"/>
      <c r="E105" s="37" t="s">
        <v>644</v>
      </c>
      <c r="F105" s="37" t="s">
        <v>698</v>
      </c>
      <c r="G105" s="46" t="s">
        <v>719</v>
      </c>
      <c r="H105" s="37" t="s">
        <v>845</v>
      </c>
      <c r="I105" s="37" t="s">
        <v>2110</v>
      </c>
    </row>
    <row r="106" spans="1:259" ht="47" customHeight="1" x14ac:dyDescent="0.15">
      <c r="A106" s="15" t="s">
        <v>234</v>
      </c>
      <c r="B106" s="30" t="str">
        <f>VLOOKUP(A106,'HECVAT - Full'!A$24:B$312,2,FALSE)</f>
        <v>Are specific crisis management roles and responsibilities defined and documented?</v>
      </c>
      <c r="C106" s="37" t="s">
        <v>569</v>
      </c>
      <c r="D106" s="41"/>
      <c r="E106" s="37" t="s">
        <v>643</v>
      </c>
      <c r="F106" s="37" t="s">
        <v>698</v>
      </c>
      <c r="G106" s="47"/>
      <c r="H106" s="37" t="s">
        <v>844</v>
      </c>
      <c r="I106" s="37" t="s">
        <v>2110</v>
      </c>
    </row>
    <row r="107" spans="1:259" ht="47" customHeight="1" x14ac:dyDescent="0.15">
      <c r="A107" s="15" t="s">
        <v>235</v>
      </c>
      <c r="B107" s="30" t="str">
        <f>VLOOKUP(A107,'HECVAT - Full'!A$24:B$312,2,FALSE)</f>
        <v>Does your organization have an alternative business site or a contracted Business Recovery provider?</v>
      </c>
      <c r="C107" s="37" t="s">
        <v>569</v>
      </c>
      <c r="D107" s="41"/>
      <c r="E107" s="37" t="s">
        <v>641</v>
      </c>
      <c r="F107" s="37" t="s">
        <v>698</v>
      </c>
      <c r="G107" s="47"/>
      <c r="H107" s="37" t="s">
        <v>844</v>
      </c>
      <c r="I107" s="37">
        <v>12.1</v>
      </c>
    </row>
    <row r="108" spans="1:259" ht="47" customHeight="1" x14ac:dyDescent="0.15">
      <c r="A108" s="15" t="s">
        <v>236</v>
      </c>
      <c r="B108" s="30" t="str">
        <f>VLOOKUP(A108,'HECVAT - Full'!A$24:B$312,2,FALSE)</f>
        <v>Does your organization conduct an annual test of relocating to an alternate site for business recovery purposes?</v>
      </c>
      <c r="C108" s="37" t="s">
        <v>569</v>
      </c>
      <c r="D108" s="41"/>
      <c r="E108" s="37" t="s">
        <v>640</v>
      </c>
      <c r="F108" s="37" t="s">
        <v>698</v>
      </c>
      <c r="G108" s="47"/>
      <c r="H108" s="37" t="s">
        <v>844</v>
      </c>
      <c r="I108" s="37">
        <v>12.1</v>
      </c>
    </row>
    <row r="109" spans="1:259" ht="64.25" customHeight="1" x14ac:dyDescent="0.15">
      <c r="A109" s="15" t="s">
        <v>237</v>
      </c>
      <c r="B109" s="30" t="str">
        <f>VLOOKUP(A109,'HECVAT - Full'!A$24:B$312,2,FALSE)</f>
        <v>Is this product a core service of your organization, and as such, the top priority during business continuity planning?</v>
      </c>
      <c r="C109" s="37" t="s">
        <v>569</v>
      </c>
      <c r="D109" s="41"/>
      <c r="E109" s="38"/>
      <c r="F109" s="37" t="s">
        <v>698</v>
      </c>
      <c r="G109" s="47"/>
      <c r="H109" s="37" t="s">
        <v>844</v>
      </c>
      <c r="I109" s="37">
        <v>12.1</v>
      </c>
    </row>
    <row r="110" spans="1:259" ht="36" customHeight="1" x14ac:dyDescent="0.15">
      <c r="A110" s="304" t="str">
        <f>IF($C$30="","Change Management",IF($C$30="Yes","Change Management - Optional based on QUALIFIER response.","Change Management"))</f>
        <v>Change Management</v>
      </c>
      <c r="B110" s="304"/>
      <c r="C110" s="36" t="str">
        <f>$C$22</f>
        <v>CIS Critical Security Controls v6.1</v>
      </c>
      <c r="D110" s="36" t="str">
        <f>$D$22</f>
        <v>HIPAA</v>
      </c>
      <c r="E110" s="36" t="str">
        <f>$E$22</f>
        <v>ISO 27002:2013</v>
      </c>
      <c r="F110" s="36" t="str">
        <f>$F$22</f>
        <v>NIST Cybersecurity Framework</v>
      </c>
      <c r="G110" s="25" t="str">
        <f>$G$22</f>
        <v>NIST SP 800-171r1</v>
      </c>
      <c r="H110" s="36" t="str">
        <f>$H$22</f>
        <v>NIST SP 800-53r4</v>
      </c>
      <c r="I110" s="167" t="s">
        <v>2044</v>
      </c>
    </row>
    <row r="111" spans="1:259" ht="48" customHeight="1" x14ac:dyDescent="0.15">
      <c r="A111" s="15" t="s">
        <v>238</v>
      </c>
      <c r="B111" s="30" t="str">
        <f>VLOOKUP(A111,'HECVAT - Full'!A$24:B$312,2,FALSE)</f>
        <v xml:space="preserve">Do you have a documented and currently followed change management process (CMP)? </v>
      </c>
      <c r="C111" s="37" t="s">
        <v>569</v>
      </c>
      <c r="D111" s="41"/>
      <c r="E111" s="37" t="s">
        <v>645</v>
      </c>
      <c r="F111" s="37" t="s">
        <v>779</v>
      </c>
      <c r="G111" s="46" t="s">
        <v>720</v>
      </c>
      <c r="H111" s="37" t="s">
        <v>846</v>
      </c>
      <c r="I111" s="37" t="s">
        <v>2118</v>
      </c>
    </row>
    <row r="112" spans="1:259" ht="80" customHeight="1" x14ac:dyDescent="0.15">
      <c r="A112" s="15" t="s">
        <v>239</v>
      </c>
      <c r="B112" s="30"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7" t="s">
        <v>569</v>
      </c>
      <c r="D112" s="41"/>
      <c r="E112" s="37" t="s">
        <v>645</v>
      </c>
      <c r="F112" s="37" t="s">
        <v>780</v>
      </c>
      <c r="G112" s="46" t="s">
        <v>721</v>
      </c>
      <c r="H112" s="37" t="s">
        <v>846</v>
      </c>
      <c r="I112" s="37" t="s">
        <v>2118</v>
      </c>
    </row>
    <row r="113" spans="1:259" ht="64.25" customHeight="1" x14ac:dyDescent="0.15">
      <c r="A113" s="15" t="s">
        <v>240</v>
      </c>
      <c r="B113" s="30" t="str">
        <f>VLOOKUP(A113,'HECVAT - Full'!A$24:B$312,2,FALSE)</f>
        <v>Will the Institution be notified of major changes to your environment that could impact the Institution's security posture?</v>
      </c>
      <c r="C113" s="37" t="s">
        <v>569</v>
      </c>
      <c r="D113" s="41"/>
      <c r="E113" s="37" t="s">
        <v>645</v>
      </c>
      <c r="F113" s="38"/>
      <c r="G113" s="47"/>
      <c r="H113" s="37" t="s">
        <v>846</v>
      </c>
      <c r="I113" s="37" t="s">
        <v>2119</v>
      </c>
    </row>
    <row r="114" spans="1:259" ht="64.25" customHeight="1" x14ac:dyDescent="0.15">
      <c r="A114" s="15" t="s">
        <v>241</v>
      </c>
      <c r="B114" s="30" t="str">
        <f>VLOOKUP(A114,'HECVAT - Full'!A$24:B$312,2,FALSE)</f>
        <v>Do clients have the option to not participate in or postpone an upgrade to a new release?</v>
      </c>
      <c r="C114" s="37" t="s">
        <v>569</v>
      </c>
      <c r="D114" s="42"/>
      <c r="E114" s="38"/>
      <c r="F114" s="38"/>
      <c r="G114" s="47"/>
      <c r="H114" s="37" t="s">
        <v>846</v>
      </c>
      <c r="I114" s="37">
        <v>12.1</v>
      </c>
    </row>
    <row r="115" spans="1:259" ht="64.25" customHeight="1" x14ac:dyDescent="0.15">
      <c r="A115" s="15" t="s">
        <v>242</v>
      </c>
      <c r="B115" s="30" t="str">
        <f>VLOOKUP(A115,'HECVAT - Full'!A$24:B$312,2,FALSE)</f>
        <v>Describe or provide a reference to your solution support strategy in relation to maintaining software currency. (i.e. how many concurrent versions are you willing to run and support?)</v>
      </c>
      <c r="C115" s="37" t="s">
        <v>573</v>
      </c>
      <c r="D115" s="41"/>
      <c r="E115" s="38"/>
      <c r="F115" s="38"/>
      <c r="G115" s="47"/>
      <c r="H115" s="37" t="s">
        <v>846</v>
      </c>
      <c r="I115" s="37" t="s">
        <v>2120</v>
      </c>
    </row>
    <row r="116" spans="1:259" ht="64.25" customHeight="1" x14ac:dyDescent="0.15">
      <c r="A116" s="15" t="s">
        <v>243</v>
      </c>
      <c r="B116" s="30" t="str">
        <f>VLOOKUP(A116,'HECVAT - Full'!A$24:B$312,2,FALSE)</f>
        <v>Identify the most current version of the software. Detail the percentage of live customers that are utilizing the proposed version of the software as well as each version of the software currently in use.</v>
      </c>
      <c r="C116" s="37" t="s">
        <v>573</v>
      </c>
      <c r="D116" s="41"/>
      <c r="E116" s="38"/>
      <c r="F116" s="38"/>
      <c r="G116" s="47"/>
      <c r="H116" s="37" t="s">
        <v>846</v>
      </c>
      <c r="I116" s="47"/>
    </row>
    <row r="117" spans="1:259" ht="64.25" customHeight="1" x14ac:dyDescent="0.15">
      <c r="A117" s="15" t="s">
        <v>244</v>
      </c>
      <c r="B117" s="30" t="str">
        <f>VLOOKUP(A117,'HECVAT - Full'!A$24:B$312,2,FALSE)</f>
        <v>Does the system support client customizations from one release to another?</v>
      </c>
      <c r="C117" s="37" t="s">
        <v>569</v>
      </c>
      <c r="D117" s="41"/>
      <c r="E117" s="38"/>
      <c r="F117" s="38"/>
      <c r="G117" s="47"/>
      <c r="H117" s="37" t="s">
        <v>846</v>
      </c>
      <c r="I117" s="47"/>
    </row>
    <row r="118" spans="1:259" ht="64.25" customHeight="1" x14ac:dyDescent="0.15">
      <c r="A118" s="15" t="s">
        <v>245</v>
      </c>
      <c r="B118" s="30"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7" t="s">
        <v>573</v>
      </c>
      <c r="D118" s="41"/>
      <c r="E118" s="37" t="s">
        <v>628</v>
      </c>
      <c r="F118" s="37" t="s">
        <v>775</v>
      </c>
      <c r="G118" s="46" t="s">
        <v>722</v>
      </c>
      <c r="H118" s="37" t="s">
        <v>846</v>
      </c>
      <c r="I118" s="37">
        <v>12.1</v>
      </c>
    </row>
    <row r="119" spans="1:259" ht="64.25" customHeight="1" x14ac:dyDescent="0.15">
      <c r="A119" s="15" t="s">
        <v>246</v>
      </c>
      <c r="B119" s="30" t="str">
        <f>VLOOKUP(A119,'HECVAT - Full'!A$24:B$312,2,FALSE)</f>
        <v>Do you have a release schedule for product updates?</v>
      </c>
      <c r="C119" s="37" t="s">
        <v>569</v>
      </c>
      <c r="D119" s="41"/>
      <c r="E119" s="38"/>
      <c r="F119" s="38"/>
      <c r="G119" s="46" t="s">
        <v>723</v>
      </c>
      <c r="H119" s="37" t="s">
        <v>846</v>
      </c>
      <c r="I119" s="47"/>
    </row>
    <row r="120" spans="1:259" ht="64.25" customHeight="1" x14ac:dyDescent="0.15">
      <c r="A120" s="15" t="s">
        <v>247</v>
      </c>
      <c r="B120" s="30" t="str">
        <f>VLOOKUP(A120,'HECVAT - Full'!A$24:B$312,2,FALSE)</f>
        <v>Do you have a technology roadmap, for the next 2 years, for enhancements and bug fixes for the product/service being assessed?</v>
      </c>
      <c r="C120" s="37" t="s">
        <v>573</v>
      </c>
      <c r="D120" s="41"/>
      <c r="E120" s="38"/>
      <c r="F120" s="38"/>
      <c r="G120" s="47"/>
      <c r="H120" s="37" t="s">
        <v>846</v>
      </c>
      <c r="I120" s="47"/>
    </row>
    <row r="121" spans="1:259" ht="64.25" customHeight="1" x14ac:dyDescent="0.15">
      <c r="A121" s="15" t="s">
        <v>248</v>
      </c>
      <c r="B121" s="30" t="str">
        <f>VLOOKUP(A121,'HECVAT - Full'!A$24:B$312,2,FALSE)</f>
        <v>Is Institution involvement (i.e. technically or organizationally) required during product updates?</v>
      </c>
      <c r="C121" s="38"/>
      <c r="D121" s="41"/>
      <c r="E121" s="38"/>
      <c r="F121" s="38"/>
      <c r="G121" s="47"/>
      <c r="H121" s="37" t="s">
        <v>846</v>
      </c>
      <c r="I121" s="47"/>
    </row>
    <row r="122" spans="1:259" ht="64.25" customHeight="1" x14ac:dyDescent="0.15">
      <c r="A122" s="15" t="s">
        <v>249</v>
      </c>
      <c r="B122" s="30" t="str">
        <f>VLOOKUP(A122,'HECVAT - Full'!A$24:B$312,2,FALSE)</f>
        <v>Do you have policy and procedure, currently implemented, managing how critical patches are applied to all systems and applications?</v>
      </c>
      <c r="C122" s="37" t="s">
        <v>573</v>
      </c>
      <c r="D122" s="41"/>
      <c r="E122" s="37" t="s">
        <v>646</v>
      </c>
      <c r="F122" s="38"/>
      <c r="G122" s="47"/>
      <c r="H122" s="37" t="s">
        <v>846</v>
      </c>
      <c r="I122" s="37" t="s">
        <v>2121</v>
      </c>
    </row>
    <row r="123" spans="1:259" ht="64.25" customHeight="1" x14ac:dyDescent="0.15">
      <c r="A123" s="15" t="s">
        <v>250</v>
      </c>
      <c r="B123" s="30" t="str">
        <f>VLOOKUP(A123,'HECVAT - Full'!A$24:B$312,2,FALSE)</f>
        <v>Do you have policy and procedure, currently implemented, guiding how security risks are mitigated until patches can be applied?</v>
      </c>
      <c r="C123" s="37" t="s">
        <v>567</v>
      </c>
      <c r="D123" s="37" t="s">
        <v>599</v>
      </c>
      <c r="E123" s="37" t="s">
        <v>646</v>
      </c>
      <c r="F123" s="38"/>
      <c r="G123" s="47"/>
      <c r="H123" s="37" t="s">
        <v>846</v>
      </c>
      <c r="I123" s="37" t="s">
        <v>2122</v>
      </c>
    </row>
    <row r="124" spans="1:259" ht="48" customHeight="1" x14ac:dyDescent="0.15">
      <c r="A124" s="15" t="s">
        <v>251</v>
      </c>
      <c r="B124" s="30" t="str">
        <f>VLOOKUP(A124,'HECVAT - Full'!A$24:B$312,2,FALSE)</f>
        <v>Are upgrades or system changes installed during off-peak hours or in a manner that does not impact the customer?</v>
      </c>
      <c r="C124" s="37" t="s">
        <v>569</v>
      </c>
      <c r="D124" s="42"/>
      <c r="E124" s="38"/>
      <c r="F124" s="38"/>
      <c r="G124" s="47"/>
      <c r="H124" s="37" t="s">
        <v>846</v>
      </c>
      <c r="I124" s="37" t="s">
        <v>2123</v>
      </c>
    </row>
    <row r="125" spans="1:259" ht="48" customHeight="1" x14ac:dyDescent="0.15">
      <c r="A125" s="15" t="s">
        <v>252</v>
      </c>
      <c r="B125" s="30" t="str">
        <f>VLOOKUP(A125,'HECVAT - Full'!A$24:B$312,2,FALSE)</f>
        <v>Do procedures exist to provide that emergency changes are documented and authorized (including after the fact approval)?</v>
      </c>
      <c r="C125" s="37" t="s">
        <v>569</v>
      </c>
      <c r="D125" s="42"/>
      <c r="E125" s="37" t="s">
        <v>645</v>
      </c>
      <c r="F125" s="37" t="s">
        <v>779</v>
      </c>
      <c r="G125" s="47"/>
      <c r="H125" s="37" t="s">
        <v>846</v>
      </c>
      <c r="I125" s="37" t="s">
        <v>2124</v>
      </c>
    </row>
    <row r="126" spans="1:259" ht="36" customHeight="1" x14ac:dyDescent="0.2">
      <c r="A126" s="304" t="str">
        <f>IF($C$30="","Data",IF($C$30="Yes","Data - Optional based on QUALIFIER response.","Data"))</f>
        <v>Data</v>
      </c>
      <c r="B126" s="304"/>
      <c r="C126" s="36" t="str">
        <f>$C$22</f>
        <v>CIS Critical Security Controls v6.1</v>
      </c>
      <c r="D126" s="36" t="str">
        <f>$D$22</f>
        <v>HIPAA</v>
      </c>
      <c r="E126" s="36" t="str">
        <f>$E$22</f>
        <v>ISO 27002:2013</v>
      </c>
      <c r="F126" s="36" t="str">
        <f>$F$22</f>
        <v>NIST Cybersecurity Framework</v>
      </c>
      <c r="G126" s="25" t="str">
        <f>$G$22</f>
        <v>NIST SP 800-171r1</v>
      </c>
      <c r="H126" s="36" t="str">
        <f>$H$22</f>
        <v>NIST SP 800-53r4</v>
      </c>
      <c r="I126" s="167" t="s">
        <v>2044</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253</v>
      </c>
      <c r="B127" s="30" t="str">
        <f>VLOOKUP(A127,'HECVAT - Full'!A$24:B$312,2,FALSE)</f>
        <v>Do you physically and logically separate Institution's data from that of other customers?</v>
      </c>
      <c r="C127" s="37" t="s">
        <v>572</v>
      </c>
      <c r="D127" s="38"/>
      <c r="E127" s="38"/>
      <c r="F127" s="37" t="s">
        <v>782</v>
      </c>
      <c r="G127" s="46" t="s">
        <v>724</v>
      </c>
      <c r="H127" s="37" t="s">
        <v>847</v>
      </c>
      <c r="I127" s="37">
        <v>12.8</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254</v>
      </c>
      <c r="B128" s="30" t="str">
        <f>VLOOKUP(A128,'HECVAT - Full'!A$24:B$312,2,FALSE)</f>
        <v>Will Institution's data be stored on any devices (database servers, file servers, SAN, NAS, …) configured with non-RFC 1918/4193 (i.e. publicly routable) IP addresses?</v>
      </c>
      <c r="C128" s="37" t="s">
        <v>572</v>
      </c>
      <c r="D128" s="38"/>
      <c r="E128" s="38"/>
      <c r="F128" s="37" t="s">
        <v>782</v>
      </c>
      <c r="G128" s="46" t="s">
        <v>725</v>
      </c>
      <c r="H128" s="37" t="s">
        <v>848</v>
      </c>
      <c r="I128" s="37" t="s">
        <v>2125</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255</v>
      </c>
      <c r="B129" s="30" t="str">
        <f>VLOOKUP(A129,'HECVAT - Full'!A$24:B$312,2,FALSE)</f>
        <v>Is sensitive data encrypted in transport? (e.g. system-to-client)</v>
      </c>
      <c r="C129" s="37" t="s">
        <v>567</v>
      </c>
      <c r="D129" s="38"/>
      <c r="E129" s="37" t="s">
        <v>648</v>
      </c>
      <c r="F129" s="37" t="s">
        <v>783</v>
      </c>
      <c r="G129" s="47"/>
      <c r="H129" s="38"/>
      <c r="I129" s="37" t="s">
        <v>2126</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256</v>
      </c>
      <c r="B130" s="30" t="str">
        <f>VLOOKUP(A130,'HECVAT - Full'!A$24:B$312,2,FALSE)</f>
        <v>Is sensitive data encrypted in storage (e.g. disk encryption, at-rest)?</v>
      </c>
      <c r="C130" s="37" t="s">
        <v>567</v>
      </c>
      <c r="D130" s="38"/>
      <c r="E130" s="37" t="s">
        <v>649</v>
      </c>
      <c r="F130" s="37" t="s">
        <v>784</v>
      </c>
      <c r="G130" s="46" t="s">
        <v>726</v>
      </c>
      <c r="H130" s="37" t="s">
        <v>849</v>
      </c>
      <c r="I130" s="37">
        <v>12.8</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48" customHeight="1" x14ac:dyDescent="0.2">
      <c r="A131" s="15" t="s">
        <v>257</v>
      </c>
      <c r="B131" s="30" t="str">
        <f>VLOOKUP(A131,'HECVAT - Full'!A$24:B$312,2,FALSE)</f>
        <v>Do you employ or allow any cryptographic modules that do not conform to the Federal Information Processing Standards (FIPS PUB 140-2)?</v>
      </c>
      <c r="C131" s="37" t="s">
        <v>567</v>
      </c>
      <c r="D131" s="38"/>
      <c r="E131" s="37" t="s">
        <v>649</v>
      </c>
      <c r="F131" s="38"/>
      <c r="G131" s="46" t="s">
        <v>735</v>
      </c>
      <c r="H131" s="38"/>
      <c r="I131" s="37">
        <v>12.1</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5" customHeight="1" x14ac:dyDescent="0.2">
      <c r="A132" s="15" t="s">
        <v>258</v>
      </c>
      <c r="B132" s="30" t="str">
        <f>VLOOKUP(A132,'HECVAT - Full'!A$24:B$312,2,FALSE)</f>
        <v>Does your system employ encryption technologies when transmitting sensitive information over TCP/IP networks (e.g., SSH, SSL/TLS, VPN)? (e.g. system-to-system and system-to-client)</v>
      </c>
      <c r="C132" s="37" t="s">
        <v>567</v>
      </c>
      <c r="D132" s="38"/>
      <c r="E132" s="37" t="s">
        <v>655</v>
      </c>
      <c r="F132" s="37" t="s">
        <v>783</v>
      </c>
      <c r="G132" s="47"/>
      <c r="H132" s="37" t="s">
        <v>850</v>
      </c>
      <c r="I132" s="37" t="s">
        <v>2126</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60" customHeight="1" x14ac:dyDescent="0.2">
      <c r="A133" s="15" t="s">
        <v>259</v>
      </c>
      <c r="B133" s="30" t="str">
        <f>VLOOKUP(A133,'HECVAT - Full'!A$24:B$312,2,FALSE)</f>
        <v>List all locations (i.e. city + datacenter name) where the institution's data will be stored?</v>
      </c>
      <c r="C133" s="37" t="s">
        <v>579</v>
      </c>
      <c r="D133" s="38"/>
      <c r="E133" s="38"/>
      <c r="F133" s="38"/>
      <c r="G133" s="46" t="s">
        <v>727</v>
      </c>
      <c r="H133" s="37" t="s">
        <v>828</v>
      </c>
      <c r="I133" s="37" t="s">
        <v>2125</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36" customHeight="1" x14ac:dyDescent="0.2">
      <c r="A134" s="15" t="s">
        <v>260</v>
      </c>
      <c r="B134" s="30" t="str">
        <f>VLOOKUP(A134,'HECVAT - Full'!A$24:B$312,2,FALSE)</f>
        <v>At the completion of this contract, will data be returned to the institution?</v>
      </c>
      <c r="C134" s="37" t="s">
        <v>567</v>
      </c>
      <c r="D134" s="38"/>
      <c r="E134" s="37" t="s">
        <v>650</v>
      </c>
      <c r="F134" s="38"/>
      <c r="G134" s="46" t="s">
        <v>727</v>
      </c>
      <c r="H134" s="37" t="s">
        <v>828</v>
      </c>
      <c r="I134" s="37">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48" customHeight="1" x14ac:dyDescent="0.2">
      <c r="A135" s="15" t="s">
        <v>261</v>
      </c>
      <c r="B135" s="30" t="str">
        <f>VLOOKUP(A135,'HECVAT - Full'!A$24:B$312,2,FALSE)</f>
        <v>Will the institution's data be available within the system for a period of time at the completion of this contract?</v>
      </c>
      <c r="C135" s="37" t="s">
        <v>567</v>
      </c>
      <c r="D135" s="38"/>
      <c r="E135" s="37" t="s">
        <v>650</v>
      </c>
      <c r="F135" s="38"/>
      <c r="G135" s="47"/>
      <c r="H135" s="38"/>
      <c r="I135" s="37">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36" customHeight="1" x14ac:dyDescent="0.2">
      <c r="A136" s="15" t="s">
        <v>262</v>
      </c>
      <c r="B136" s="30" t="str">
        <f>VLOOKUP(A136,'HECVAT - Full'!A$24:B$312,2,FALSE)</f>
        <v>Can the institution extract a full backup of data?</v>
      </c>
      <c r="C136" s="38"/>
      <c r="D136" s="38"/>
      <c r="E136" s="37" t="s">
        <v>651</v>
      </c>
      <c r="F136" s="38"/>
      <c r="G136" s="47"/>
      <c r="H136" s="38"/>
      <c r="I136" s="37">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5" t="s">
        <v>263</v>
      </c>
      <c r="B137" s="30" t="str">
        <f>VLOOKUP(A137,'HECVAT - Full'!A$24:B$312,2,FALSE)</f>
        <v>Are ownership rights to all data, inputs, outputs, and metadata retained by the institution?</v>
      </c>
      <c r="C137" s="37" t="s">
        <v>567</v>
      </c>
      <c r="D137" s="38"/>
      <c r="E137" s="37" t="s">
        <v>652</v>
      </c>
      <c r="F137" s="38"/>
      <c r="G137" s="46" t="s">
        <v>727</v>
      </c>
      <c r="H137" s="38"/>
      <c r="I137" s="37">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36" customHeight="1" x14ac:dyDescent="0.2">
      <c r="A138" s="15" t="s">
        <v>264</v>
      </c>
      <c r="B138" s="30" t="str">
        <f>VLOOKUP(A138,'HECVAT - Full'!A$24:B$312,2,FALSE)</f>
        <v>Are these rights retained even through a provider acquisition or bankruptcy event?</v>
      </c>
      <c r="C138" s="37" t="s">
        <v>567</v>
      </c>
      <c r="D138" s="38"/>
      <c r="E138" s="37" t="s">
        <v>652</v>
      </c>
      <c r="F138" s="38"/>
      <c r="G138" s="46" t="s">
        <v>699</v>
      </c>
      <c r="H138" s="38"/>
      <c r="I138" s="37">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54" customHeight="1" x14ac:dyDescent="0.2">
      <c r="A139" s="15" t="s">
        <v>265</v>
      </c>
      <c r="B139" s="30" t="str">
        <f>VLOOKUP(A139,'HECVAT - Full'!A$24:B$312,2,FALSE)</f>
        <v>In the event of imminent bankruptcy, closing of business, or retirement of service, will you provide 90 days for customers to get their data out of the system and migrate applications?</v>
      </c>
      <c r="C139" s="37" t="s">
        <v>580</v>
      </c>
      <c r="D139" s="38"/>
      <c r="E139" s="37" t="s">
        <v>652</v>
      </c>
      <c r="F139" s="38"/>
      <c r="G139" s="46" t="s">
        <v>727</v>
      </c>
      <c r="H139" s="38"/>
      <c r="I139" s="37">
        <v>12.8</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266</v>
      </c>
      <c r="B140" s="30" t="str">
        <f>VLOOKUP(A140,'HECVAT - Full'!A$24:B$312,2,FALSE)</f>
        <v xml:space="preserve">Describe or provide a reference to the backup processes for the servers on which the service and/or data resides. </v>
      </c>
      <c r="C140" s="37" t="s">
        <v>569</v>
      </c>
      <c r="D140" s="38"/>
      <c r="E140" s="37" t="s">
        <v>651</v>
      </c>
      <c r="F140" s="37" t="s">
        <v>785</v>
      </c>
      <c r="G140" s="46" t="s">
        <v>728</v>
      </c>
      <c r="H140" s="37" t="s">
        <v>851</v>
      </c>
      <c r="I140" s="37" t="s">
        <v>2127</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5" t="s">
        <v>267</v>
      </c>
      <c r="B141" s="30" t="str">
        <f>VLOOKUP(A141,'HECVAT - Full'!A$24:B$312,2,FALSE)</f>
        <v>Are backup copies made according to pre-defined schedules and securely stored and protected?</v>
      </c>
      <c r="C141" s="37" t="s">
        <v>569</v>
      </c>
      <c r="D141" s="38"/>
      <c r="E141" s="37" t="s">
        <v>651</v>
      </c>
      <c r="F141" s="37" t="s">
        <v>785</v>
      </c>
      <c r="G141" s="46" t="s">
        <v>728</v>
      </c>
      <c r="H141" s="37" t="s">
        <v>851</v>
      </c>
      <c r="I141" s="37">
        <v>12.8</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268</v>
      </c>
      <c r="B142" s="30" t="str">
        <f>VLOOKUP(A142,'HECVAT - Full'!A$24:B$312,2,FALSE)</f>
        <v>How long are data backups stored?</v>
      </c>
      <c r="C142" s="37" t="s">
        <v>569</v>
      </c>
      <c r="D142" s="38"/>
      <c r="E142" s="37" t="s">
        <v>651</v>
      </c>
      <c r="F142" s="37" t="s">
        <v>785</v>
      </c>
      <c r="G142" s="46" t="s">
        <v>728</v>
      </c>
      <c r="H142" s="37" t="s">
        <v>851</v>
      </c>
      <c r="I142" s="38"/>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36" customHeight="1" x14ac:dyDescent="0.2">
      <c r="A143" s="15" t="s">
        <v>269</v>
      </c>
      <c r="B143" s="30" t="str">
        <f>VLOOKUP(A143,'HECVAT - Full'!A$24:B$312,2,FALSE)</f>
        <v>Are data backups encrypted?</v>
      </c>
      <c r="C143" s="37" t="s">
        <v>569</v>
      </c>
      <c r="D143" s="38"/>
      <c r="E143" s="37" t="s">
        <v>651</v>
      </c>
      <c r="F143" s="37" t="s">
        <v>786</v>
      </c>
      <c r="G143" s="46" t="s">
        <v>728</v>
      </c>
      <c r="H143" s="37" t="s">
        <v>851</v>
      </c>
      <c r="I143" s="38"/>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72" customHeight="1" x14ac:dyDescent="0.2">
      <c r="A144" s="15" t="s">
        <v>270</v>
      </c>
      <c r="B144" s="30" t="str">
        <f>VLOOKUP(A144,'HECVAT - Full'!A$24:B$312,2,FALSE)</f>
        <v>Do you have a cryptographic key management process (generation, exchange, storage, safeguards, use, vetting, and replacement), that is documented and currently implemented, for all system components? (e.g. database, system, web, etc.)</v>
      </c>
      <c r="C144" s="37" t="s">
        <v>569</v>
      </c>
      <c r="D144" s="38"/>
      <c r="E144" s="37" t="s">
        <v>653</v>
      </c>
      <c r="F144" s="38"/>
      <c r="G144" s="46" t="s">
        <v>729</v>
      </c>
      <c r="H144" s="37" t="s">
        <v>856</v>
      </c>
      <c r="I144" s="38"/>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5" t="s">
        <v>271</v>
      </c>
      <c r="B145" s="30" t="str">
        <f>VLOOKUP(A145,'HECVAT - Full'!A$24:B$312,2,FALSE)</f>
        <v>Do current backups include all operating system software, utilities, security software, application software, and data files necessary for recovery?</v>
      </c>
      <c r="C145" s="37" t="s">
        <v>569</v>
      </c>
      <c r="D145" s="38"/>
      <c r="E145" s="37" t="s">
        <v>651</v>
      </c>
      <c r="F145" s="37" t="s">
        <v>787</v>
      </c>
      <c r="G145" s="46" t="s">
        <v>728</v>
      </c>
      <c r="H145" s="37" t="s">
        <v>851</v>
      </c>
      <c r="I145" s="38"/>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5" t="s">
        <v>272</v>
      </c>
      <c r="B146" s="30" t="str">
        <f>VLOOKUP(A146,'HECVAT - Full'!A$24:B$312,2,FALSE)</f>
        <v>Are you performing off site backups? (i.e. digitally moved off site)</v>
      </c>
      <c r="C146" s="37" t="s">
        <v>569</v>
      </c>
      <c r="D146" s="38"/>
      <c r="E146" s="37" t="s">
        <v>651</v>
      </c>
      <c r="F146" s="37" t="s">
        <v>785</v>
      </c>
      <c r="G146" s="46" t="s">
        <v>730</v>
      </c>
      <c r="H146" s="37" t="s">
        <v>851</v>
      </c>
      <c r="I146" s="37" t="s">
        <v>2127</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273</v>
      </c>
      <c r="B147" s="30" t="str">
        <f>VLOOKUP(A147,'HECVAT - Full'!A$24:B$312,2,FALSE)</f>
        <v>Are physical backups taken off site? (i.e. physically moved off site)</v>
      </c>
      <c r="C147" s="37" t="s">
        <v>569</v>
      </c>
      <c r="D147" s="38"/>
      <c r="E147" s="37" t="s">
        <v>651</v>
      </c>
      <c r="F147" s="37" t="s">
        <v>785</v>
      </c>
      <c r="G147" s="46" t="s">
        <v>731</v>
      </c>
      <c r="H147" s="37" t="s">
        <v>857</v>
      </c>
      <c r="I147" s="37" t="s">
        <v>2127</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5" t="s">
        <v>274</v>
      </c>
      <c r="B148" s="30" t="str">
        <f>VLOOKUP(A148,'HECVAT - Full'!A$24:B$312,2,FALSE)</f>
        <v>Do backups containing the institution's data ever leave the Institution's Data Zone either physically or via network routing?</v>
      </c>
      <c r="C148" s="37" t="s">
        <v>567</v>
      </c>
      <c r="D148" s="38"/>
      <c r="E148" s="37" t="s">
        <v>651</v>
      </c>
      <c r="F148" s="38"/>
      <c r="G148" s="46" t="s">
        <v>728</v>
      </c>
      <c r="H148" s="37" t="s">
        <v>857</v>
      </c>
      <c r="I148" s="37">
        <v>12.8</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73.25" customHeight="1" x14ac:dyDescent="0.2">
      <c r="A149" s="15" t="s">
        <v>275</v>
      </c>
      <c r="B149" s="30" t="str">
        <f>VLOOKUP(A149,'HECVAT - Full'!A$24:B$312,2,FALSE)</f>
        <v>Do you have a media handling process, that is documented and currently implemented, including end-of-life, repurposing, and data sanitization procedures?</v>
      </c>
      <c r="C149" s="37" t="s">
        <v>567</v>
      </c>
      <c r="D149" s="38"/>
      <c r="E149" s="37" t="s">
        <v>654</v>
      </c>
      <c r="F149" s="37" t="s">
        <v>788</v>
      </c>
      <c r="G149" s="46" t="s">
        <v>732</v>
      </c>
      <c r="H149" s="37" t="s">
        <v>852</v>
      </c>
      <c r="I149" s="37" t="s">
        <v>2127</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36" customHeight="1" x14ac:dyDescent="0.2">
      <c r="A150" s="15" t="s">
        <v>276</v>
      </c>
      <c r="B150" s="30" t="str">
        <f>VLOOKUP(A150,'HECVAT - Full'!A$24:B$312,2,FALSE)</f>
        <v>Does the process described in DATA-23 adhere to DoD 5220.22-M and/or NIST SP 800-88 standards?</v>
      </c>
      <c r="C150" s="37" t="s">
        <v>567</v>
      </c>
      <c r="D150" s="38"/>
      <c r="E150" s="37" t="s">
        <v>656</v>
      </c>
      <c r="F150" s="37" t="s">
        <v>788</v>
      </c>
      <c r="G150" s="46" t="s">
        <v>733</v>
      </c>
      <c r="H150" s="37" t="s">
        <v>853</v>
      </c>
      <c r="I150" s="38"/>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277</v>
      </c>
      <c r="B151" s="30" t="str">
        <f>VLOOKUP(A151,'HECVAT - Full'!A$24:B$312,2,FALSE)</f>
        <v>Do procedures exist to ensure that retention and destruction of data meets established business and regulatory requirements?</v>
      </c>
      <c r="C151" s="37" t="s">
        <v>567</v>
      </c>
      <c r="D151" s="38"/>
      <c r="E151" s="37" t="s">
        <v>656</v>
      </c>
      <c r="F151" s="37" t="s">
        <v>789</v>
      </c>
      <c r="G151" s="46" t="s">
        <v>733</v>
      </c>
      <c r="H151" s="37" t="s">
        <v>854</v>
      </c>
      <c r="I151" s="38"/>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5" t="s">
        <v>278</v>
      </c>
      <c r="B152" s="30" t="str">
        <f>VLOOKUP(A152,'HECVAT - Full'!A$24:B$312,2,FALSE)</f>
        <v>Is media used for long-term retention of business data and archival purposes stored in a secure, environmentally protected area?</v>
      </c>
      <c r="C152" s="37" t="s">
        <v>567</v>
      </c>
      <c r="D152" s="38"/>
      <c r="E152" s="37" t="s">
        <v>656</v>
      </c>
      <c r="F152" s="37" t="s">
        <v>788</v>
      </c>
      <c r="G152" s="46" t="s">
        <v>734</v>
      </c>
      <c r="H152" s="37" t="s">
        <v>855</v>
      </c>
      <c r="I152" s="37" t="s">
        <v>2125</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279</v>
      </c>
      <c r="B153" s="30" t="str">
        <f>VLOOKUP(A153,'HECVAT - Full'!A$24:B$312,2,FALSE)</f>
        <v>Will you handle data in a FERPA compliant manner?</v>
      </c>
      <c r="C153" s="37" t="s">
        <v>567</v>
      </c>
      <c r="D153" s="38"/>
      <c r="E153" s="37" t="s">
        <v>615</v>
      </c>
      <c r="F153" s="37" t="s">
        <v>696</v>
      </c>
      <c r="G153" s="47"/>
      <c r="H153" s="38"/>
      <c r="I153" s="38"/>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5" t="s">
        <v>280</v>
      </c>
      <c r="B154" s="30" t="str">
        <f>VLOOKUP(A154,'HECVAT - Full'!A$24:B$312,2,FALSE)</f>
        <v>Is any institution data visible in system administration modules/tools?</v>
      </c>
      <c r="C154" s="37" t="s">
        <v>581</v>
      </c>
      <c r="D154" s="38"/>
      <c r="E154" s="37" t="s">
        <v>630</v>
      </c>
      <c r="F154" s="37" t="s">
        <v>769</v>
      </c>
      <c r="G154" s="47"/>
      <c r="H154" s="38"/>
      <c r="I154" s="38"/>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304" t="str">
        <f>IF($C$30="","Database",IF($C$30="Yes","Database - Optional based on QUALIFIER response.","Database"))</f>
        <v>Database</v>
      </c>
      <c r="B155" s="304"/>
      <c r="C155" s="36" t="str">
        <f>$C$22</f>
        <v>CIS Critical Security Controls v6.1</v>
      </c>
      <c r="D155" s="36" t="str">
        <f>$D$22</f>
        <v>HIPAA</v>
      </c>
      <c r="E155" s="36" t="str">
        <f>$E$22</f>
        <v>ISO 27002:2013</v>
      </c>
      <c r="F155" s="36" t="str">
        <f>$F$22</f>
        <v>NIST Cybersecurity Framework</v>
      </c>
      <c r="G155" s="25" t="str">
        <f>$G$22</f>
        <v>NIST SP 800-171r1</v>
      </c>
      <c r="H155" s="36" t="str">
        <f>$H$22</f>
        <v>NIST SP 800-53r4</v>
      </c>
      <c r="I155" s="167" t="s">
        <v>2044</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5" t="s">
        <v>281</v>
      </c>
      <c r="B156" s="30" t="str">
        <f>VLOOKUP(A156,'HECVAT - Full'!A$24:B$312,2,FALSE)</f>
        <v>Does the database support encryption of specified data elements in storage?</v>
      </c>
      <c r="C156" s="37" t="s">
        <v>567</v>
      </c>
      <c r="D156" s="41"/>
      <c r="E156" s="37" t="s">
        <v>648</v>
      </c>
      <c r="F156" s="37" t="s">
        <v>784</v>
      </c>
      <c r="G156" s="47"/>
      <c r="H156" s="41"/>
      <c r="I156" s="41"/>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7.25" customHeight="1" x14ac:dyDescent="0.2">
      <c r="A157" s="15" t="s">
        <v>282</v>
      </c>
      <c r="B157" s="30" t="str">
        <f>VLOOKUP(A157,'HECVAT - Full'!A$24:B$312,2,FALSE)</f>
        <v>Do you currently use encryption in your database(s)?</v>
      </c>
      <c r="C157" s="37" t="s">
        <v>567</v>
      </c>
      <c r="D157" s="41"/>
      <c r="E157" s="37" t="s">
        <v>648</v>
      </c>
      <c r="F157" s="37" t="s">
        <v>790</v>
      </c>
      <c r="G157" s="47"/>
      <c r="H157" s="41"/>
      <c r="I157" s="41"/>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36" customHeight="1" x14ac:dyDescent="0.2">
      <c r="A158" s="304" t="str">
        <f>IF($C$30="","Datacenter",IF($C$30="Yes","Datacenter - Optional based on QUALIFIER response.","Datacenter"))</f>
        <v>Datacenter</v>
      </c>
      <c r="B158" s="304"/>
      <c r="C158" s="36" t="str">
        <f>$C$22</f>
        <v>CIS Critical Security Controls v6.1</v>
      </c>
      <c r="D158" s="36" t="str">
        <f>$D$22</f>
        <v>HIPAA</v>
      </c>
      <c r="E158" s="36" t="str">
        <f>$E$22</f>
        <v>ISO 27002:2013</v>
      </c>
      <c r="F158" s="36" t="str">
        <f>$F$22</f>
        <v>NIST Cybersecurity Framework</v>
      </c>
      <c r="G158" s="25" t="str">
        <f>$G$22</f>
        <v>NIST SP 800-171r1</v>
      </c>
      <c r="H158" s="36" t="str">
        <f>$H$22</f>
        <v>NIST SP 800-53r4</v>
      </c>
      <c r="I158" s="167" t="s">
        <v>2044</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9.25" customHeight="1" x14ac:dyDescent="0.2">
      <c r="A159" s="15" t="s">
        <v>283</v>
      </c>
      <c r="B159" s="30" t="str">
        <f>VLOOKUP(A159,'HECVAT - Full'!A$24:B$312,2,FALSE)</f>
        <v>Does your company own the physical data center where the Institution's data will reside?</v>
      </c>
      <c r="C159" s="37" t="s">
        <v>570</v>
      </c>
      <c r="D159" s="41"/>
      <c r="E159" s="37" t="s">
        <v>657</v>
      </c>
      <c r="F159" s="37" t="s">
        <v>782</v>
      </c>
      <c r="G159" s="47"/>
      <c r="H159" s="41"/>
      <c r="I159" s="37" t="s">
        <v>2125</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48" customHeight="1" x14ac:dyDescent="0.2">
      <c r="A160" s="15" t="s">
        <v>284</v>
      </c>
      <c r="B160" s="30" t="str">
        <f>VLOOKUP(A160,'HECVAT - Full'!A$24:B$312,2,FALSE)</f>
        <v>Does the hosting provider have a SOC 2 Type 2 report available?</v>
      </c>
      <c r="C160" s="37" t="s">
        <v>567</v>
      </c>
      <c r="D160" s="41"/>
      <c r="E160" s="37" t="s">
        <v>657</v>
      </c>
      <c r="F160" s="38"/>
      <c r="G160" s="47"/>
      <c r="H160" s="41"/>
      <c r="I160" s="41"/>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5" t="s">
        <v>285</v>
      </c>
      <c r="B161" s="30" t="str">
        <f>VLOOKUP(A161,'HECVAT - Full'!A$24:B$312,2,FALSE)</f>
        <v>Are the data centers staffed 24 hours a day, seven days a week (i.e., 24x7x365)?</v>
      </c>
      <c r="C161" s="37" t="s">
        <v>582</v>
      </c>
      <c r="D161" s="41"/>
      <c r="E161" s="37" t="s">
        <v>641</v>
      </c>
      <c r="F161" s="38"/>
      <c r="G161" s="47"/>
      <c r="H161" s="41"/>
      <c r="I161" s="4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 customHeight="1" x14ac:dyDescent="0.2">
      <c r="A162" s="15" t="s">
        <v>286</v>
      </c>
      <c r="B162" s="30" t="str">
        <f>VLOOKUP(A162,'HECVAT - Full'!A$24:B$312,2,FALSE)</f>
        <v>Do any of your servers reside in a co-located data center?</v>
      </c>
      <c r="C162" s="37" t="s">
        <v>584</v>
      </c>
      <c r="D162" s="41"/>
      <c r="E162" s="38"/>
      <c r="F162" s="38"/>
      <c r="G162" s="47"/>
      <c r="H162" s="37" t="s">
        <v>827</v>
      </c>
      <c r="I162" s="37">
        <v>12.8</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7" customHeight="1" x14ac:dyDescent="0.2">
      <c r="A163" s="15" t="s">
        <v>287</v>
      </c>
      <c r="B163" s="30" t="str">
        <f>VLOOKUP(A163,'HECVAT - Full'!A$24:B$312,2,FALSE)</f>
        <v>Are your servers separated from other companies via a physical barrier, such as a cage or hardened walls?</v>
      </c>
      <c r="C163" s="37" t="s">
        <v>584</v>
      </c>
      <c r="D163" s="41"/>
      <c r="E163" s="37" t="s">
        <v>658</v>
      </c>
      <c r="F163" s="37" t="s">
        <v>791</v>
      </c>
      <c r="G163" s="47"/>
      <c r="H163" s="41"/>
      <c r="I163" s="37" t="s">
        <v>2127</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5" t="s">
        <v>288</v>
      </c>
      <c r="B164" s="30" t="str">
        <f>VLOOKUP(A164,'HECVAT - Full'!A$24:B$312,2,FALSE)</f>
        <v>Does a physical barrier fully enclose the physical space preventing unauthorized physical contact with any of your devices?</v>
      </c>
      <c r="C164" s="37" t="s">
        <v>570</v>
      </c>
      <c r="D164" s="41"/>
      <c r="E164" s="37" t="s">
        <v>661</v>
      </c>
      <c r="F164" s="37" t="s">
        <v>791</v>
      </c>
      <c r="G164" s="46" t="s">
        <v>734</v>
      </c>
      <c r="H164" s="41"/>
      <c r="I164" s="37" t="s">
        <v>2127</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5" t="s">
        <v>289</v>
      </c>
      <c r="B165" s="30" t="str">
        <f>VLOOKUP(A165,'HECVAT - Full'!A$24:B$312,2,FALSE)</f>
        <v>Select the option that best describes the network segment that servers are connected to.</v>
      </c>
      <c r="C165" s="37" t="s">
        <v>583</v>
      </c>
      <c r="D165" s="41"/>
      <c r="E165" s="38"/>
      <c r="F165" s="37" t="s">
        <v>792</v>
      </c>
      <c r="G165" s="46" t="s">
        <v>736</v>
      </c>
      <c r="H165" s="41"/>
      <c r="I165" s="41"/>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290</v>
      </c>
      <c r="B166" s="30" t="str">
        <f>VLOOKUP(A166,'HECVAT - Full'!A$24:B$312,2,FALSE)</f>
        <v>Does this data center operate outside of the Institution's Data Zone?</v>
      </c>
      <c r="C166" s="37" t="s">
        <v>572</v>
      </c>
      <c r="D166" s="41"/>
      <c r="E166" s="37" t="s">
        <v>615</v>
      </c>
      <c r="F166" s="38"/>
      <c r="G166" s="47"/>
      <c r="H166" s="41"/>
      <c r="I166" s="37">
        <v>12.8</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36" customHeight="1" x14ac:dyDescent="0.2">
      <c r="A167" s="15" t="s">
        <v>291</v>
      </c>
      <c r="B167" s="30" t="str">
        <f>VLOOKUP(A167,'HECVAT - Full'!A$24:B$312,2,FALSE)</f>
        <v>Will any institution data leave the Institution's Data Zone?</v>
      </c>
      <c r="C167" s="37" t="s">
        <v>572</v>
      </c>
      <c r="D167" s="41"/>
      <c r="E167" s="37" t="s">
        <v>615</v>
      </c>
      <c r="F167" s="38"/>
      <c r="G167" s="47"/>
      <c r="H167" s="41"/>
      <c r="I167" s="37">
        <v>12.9</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64.25" customHeight="1" x14ac:dyDescent="0.2">
      <c r="A168" s="15" t="s">
        <v>292</v>
      </c>
      <c r="B168" s="30" t="str">
        <f>VLOOKUP(A168,'HECVAT - Full'!A$24:B$312,2,FALSE)</f>
        <v xml:space="preserve">List all datacenters and the cities, states (provinces), and countries where the Institution's data will be stored (including within the Institution's Data Zone).   </v>
      </c>
      <c r="C168" s="37" t="s">
        <v>572</v>
      </c>
      <c r="D168" s="41"/>
      <c r="E168" s="37" t="s">
        <v>659</v>
      </c>
      <c r="F168" s="38"/>
      <c r="G168" s="48"/>
      <c r="H168" s="41"/>
      <c r="I168" s="37">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53" customHeight="1" x14ac:dyDescent="0.2">
      <c r="A169" s="15" t="s">
        <v>293</v>
      </c>
      <c r="B169" s="30" t="str">
        <f>VLOOKUP(A169,'HECVAT - Full'!A$24:B$312,2,FALSE)</f>
        <v>Are your primary and secondary data centers geographically diverse?</v>
      </c>
      <c r="C169" s="37" t="s">
        <v>569</v>
      </c>
      <c r="D169" s="41"/>
      <c r="E169" s="37" t="s">
        <v>660</v>
      </c>
      <c r="F169" s="38"/>
      <c r="G169" s="47"/>
      <c r="H169" s="41"/>
      <c r="I169" s="37">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294</v>
      </c>
      <c r="B170" s="30" t="str">
        <f>VLOOKUP(A170,'HECVAT - Full'!A$24:B$312,2,FALSE)</f>
        <v>If outsourced or co-located, is there a contract in place to prevent data from leaving the Institution's Data Zone?</v>
      </c>
      <c r="C170" s="37" t="s">
        <v>572</v>
      </c>
      <c r="D170" s="41"/>
      <c r="E170" s="37" t="s">
        <v>615</v>
      </c>
      <c r="F170" s="38"/>
      <c r="G170" s="47"/>
      <c r="H170" s="41"/>
      <c r="I170" s="37">
        <v>12.8</v>
      </c>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5" t="s">
        <v>295</v>
      </c>
      <c r="B171" s="30" t="str">
        <f>VLOOKUP(A171,'HECVAT - Full'!A$24:B$312,2,FALSE)</f>
        <v>What Tier Level is your data center (per levels defined by the Uptime Institute)?</v>
      </c>
      <c r="C171" s="38"/>
      <c r="D171" s="41"/>
      <c r="E171" s="37" t="s">
        <v>639</v>
      </c>
      <c r="F171" s="38"/>
      <c r="G171" s="47"/>
      <c r="H171" s="41"/>
      <c r="I171" s="4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s="1" customFormat="1" ht="48" customHeight="1" x14ac:dyDescent="0.2">
      <c r="A172" s="15" t="s">
        <v>296</v>
      </c>
      <c r="B172" s="30" t="str">
        <f>VLOOKUP(A172,'HECVAT - Full'!A$24:B$312,2,FALSE)</f>
        <v>Is the service hosted in a high availability environment?</v>
      </c>
      <c r="C172" s="37" t="s">
        <v>569</v>
      </c>
      <c r="D172" s="41"/>
      <c r="E172" s="37" t="s">
        <v>639</v>
      </c>
      <c r="F172" s="37" t="s">
        <v>793</v>
      </c>
      <c r="G172" s="47"/>
      <c r="H172" s="41"/>
      <c r="I172" s="41"/>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25" customHeight="1" x14ac:dyDescent="0.2">
      <c r="A173" s="15" t="s">
        <v>297</v>
      </c>
      <c r="B173" s="30" t="str">
        <f>VLOOKUP(A173,'HECVAT - Full'!A$24:B$312,2,FALSE)</f>
        <v xml:space="preserve">Is redundant power available for all datacenters where institution data will reside? </v>
      </c>
      <c r="C173" s="38"/>
      <c r="D173" s="41"/>
      <c r="E173" s="37" t="s">
        <v>641</v>
      </c>
      <c r="F173" s="37" t="s">
        <v>793</v>
      </c>
      <c r="G173" s="47"/>
      <c r="H173" s="41"/>
      <c r="I173" s="41"/>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5" t="s">
        <v>298</v>
      </c>
      <c r="B174" s="30" t="str">
        <f>VLOOKUP(A174,'HECVAT - Full'!A$24:B$312,2,FALSE)</f>
        <v>Are redundant power strategies tested?</v>
      </c>
      <c r="C174" s="38"/>
      <c r="D174" s="41"/>
      <c r="E174" s="37" t="s">
        <v>640</v>
      </c>
      <c r="F174" s="37" t="s">
        <v>793</v>
      </c>
      <c r="G174" s="48"/>
      <c r="H174" s="41"/>
      <c r="I174" s="41"/>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299</v>
      </c>
      <c r="B175" s="30" t="str">
        <f>VLOOKUP(A175,'HECVAT - Full'!A$24:B$312,2,FALSE)</f>
        <v>Describe or provide a reference to the availability of cooling and fire suppression systems in all datacenters where institution data will reside.</v>
      </c>
      <c r="C175" s="38"/>
      <c r="D175" s="41"/>
      <c r="E175" s="37" t="s">
        <v>641</v>
      </c>
      <c r="F175" s="38"/>
      <c r="G175" s="48"/>
      <c r="H175" s="37" t="s">
        <v>858</v>
      </c>
      <c r="I175" s="41"/>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300</v>
      </c>
      <c r="B176" s="30" t="str">
        <f>VLOOKUP(A176,'HECVAT - Full'!A$24:B$312,2,FALSE)</f>
        <v xml:space="preserve">State how many Internet Service Providers (ISPs) provide connectivity to each datacenter where the institution's data will reside. </v>
      </c>
      <c r="C176" s="37" t="s">
        <v>569</v>
      </c>
      <c r="D176" s="41"/>
      <c r="E176" s="37" t="s">
        <v>641</v>
      </c>
      <c r="F176" s="37" t="s">
        <v>793</v>
      </c>
      <c r="G176" s="48"/>
      <c r="H176" s="37" t="s">
        <v>858</v>
      </c>
      <c r="I176" s="37">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48" customHeight="1" x14ac:dyDescent="0.2">
      <c r="A177" s="15" t="s">
        <v>301</v>
      </c>
      <c r="B177" s="30" t="str">
        <f>VLOOKUP(A177,'HECVAT - Full'!A$24:B$312,2,FALSE)</f>
        <v>Does every datacenter where the Institution's data will reside have multiple telephone company or network provider entrances to the facility?</v>
      </c>
      <c r="C177" s="37" t="s">
        <v>567</v>
      </c>
      <c r="D177" s="41"/>
      <c r="E177" s="37" t="s">
        <v>641</v>
      </c>
      <c r="F177" s="37" t="s">
        <v>793</v>
      </c>
      <c r="G177" s="47"/>
      <c r="H177" s="37" t="s">
        <v>858</v>
      </c>
      <c r="I177" s="37">
        <v>12.8</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304" t="str">
        <f>IF(OR($C$28="No",$C$30="Yes"),"DRP - Optional based on QUALIFIER response.","Disaster Recovery Plan")</f>
        <v>Disaster Recovery Plan</v>
      </c>
      <c r="B178" s="304"/>
      <c r="C178" s="36" t="str">
        <f>$C$22</f>
        <v>CIS Critical Security Controls v6.1</v>
      </c>
      <c r="D178" s="36" t="str">
        <f>$D$22</f>
        <v>HIPAA</v>
      </c>
      <c r="E178" s="36" t="str">
        <f>$E$22</f>
        <v>ISO 27002:2013</v>
      </c>
      <c r="F178" s="36" t="str">
        <f>$F$22</f>
        <v>NIST Cybersecurity Framework</v>
      </c>
      <c r="G178" s="25" t="str">
        <f>$G$22</f>
        <v>NIST SP 800-171r1</v>
      </c>
      <c r="H178" s="36" t="str">
        <f>$H$22</f>
        <v>NIST SP 800-53r4</v>
      </c>
      <c r="I178" s="167" t="s">
        <v>2044</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5" t="s">
        <v>302</v>
      </c>
      <c r="B179" s="30" t="str">
        <f>VLOOKUP(A179,'HECVAT - Full'!A$24:B$312,2,FALSE)</f>
        <v>Describe or provide a reference to your Disaster Recovery Plan (DRP).</v>
      </c>
      <c r="C179" s="37" t="s">
        <v>569</v>
      </c>
      <c r="D179" s="41"/>
      <c r="E179" s="37" t="s">
        <v>639</v>
      </c>
      <c r="F179" s="37" t="s">
        <v>698</v>
      </c>
      <c r="G179" s="46" t="s">
        <v>718</v>
      </c>
      <c r="H179" s="39" t="s">
        <v>844</v>
      </c>
      <c r="I179" s="39">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 customHeight="1" x14ac:dyDescent="0.2">
      <c r="A180" s="15" t="s">
        <v>303</v>
      </c>
      <c r="B180" s="30" t="str">
        <f>VLOOKUP(A180,'HECVAT - Full'!A$24:B$312,2,FALSE)</f>
        <v>Is an owner assigned who is responsible for the maintenance and review of the DRP?</v>
      </c>
      <c r="C180" s="37" t="s">
        <v>569</v>
      </c>
      <c r="D180" s="41"/>
      <c r="E180" s="37" t="s">
        <v>663</v>
      </c>
      <c r="F180" s="37" t="s">
        <v>698</v>
      </c>
      <c r="G180" s="46" t="s">
        <v>718</v>
      </c>
      <c r="H180" s="39" t="s">
        <v>844</v>
      </c>
      <c r="I180" s="39">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5" t="s">
        <v>304</v>
      </c>
      <c r="B181" s="30" t="str">
        <f>VLOOKUP(A181,'HECVAT - Full'!A$24:B$312,2,FALSE)</f>
        <v>Can the Institution review your DRP and supporting documentation?</v>
      </c>
      <c r="C181" s="37" t="s">
        <v>569</v>
      </c>
      <c r="D181" s="41"/>
      <c r="E181" s="38"/>
      <c r="F181" s="37" t="s">
        <v>698</v>
      </c>
      <c r="G181" s="46" t="s">
        <v>718</v>
      </c>
      <c r="H181" s="39" t="s">
        <v>844</v>
      </c>
      <c r="I181" s="39">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5" t="s">
        <v>305</v>
      </c>
      <c r="B182" s="30" t="str">
        <f>VLOOKUP(A182,'HECVAT - Full'!A$24:B$312,2,FALSE)</f>
        <v>Are any disaster recovery locations outside the Institution's Data Zone?</v>
      </c>
      <c r="C182" s="37" t="s">
        <v>585</v>
      </c>
      <c r="D182" s="41"/>
      <c r="E182" s="37" t="s">
        <v>639</v>
      </c>
      <c r="F182" s="37" t="s">
        <v>698</v>
      </c>
      <c r="G182" s="47"/>
      <c r="H182" s="39" t="s">
        <v>844</v>
      </c>
      <c r="I182" s="39">
        <v>12.8</v>
      </c>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5" t="s">
        <v>306</v>
      </c>
      <c r="B183" s="30" t="str">
        <f>VLOOKUP(A183,'HECVAT - Full'!A$24:B$312,2,FALSE)</f>
        <v>Does your organization have a disaster recovery site or a contracted Disaster Recovery provider?</v>
      </c>
      <c r="C183" s="37" t="s">
        <v>569</v>
      </c>
      <c r="D183" s="41"/>
      <c r="E183" s="37" t="s">
        <v>641</v>
      </c>
      <c r="F183" s="37" t="s">
        <v>698</v>
      </c>
      <c r="G183" s="47"/>
      <c r="H183" s="39" t="s">
        <v>844</v>
      </c>
      <c r="I183" s="47"/>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5" t="s">
        <v>307</v>
      </c>
      <c r="B184" s="30" t="str">
        <f>VLOOKUP(A184,'HECVAT - Full'!A$24:B$312,2,FALSE)</f>
        <v>Does your organization conduct an annual test of relocating to this site for disaster recovery purposes?</v>
      </c>
      <c r="C184" s="37" t="s">
        <v>569</v>
      </c>
      <c r="D184" s="41"/>
      <c r="E184" s="37" t="s">
        <v>640</v>
      </c>
      <c r="F184" s="37" t="s">
        <v>698</v>
      </c>
      <c r="G184" s="47"/>
      <c r="H184" s="39" t="s">
        <v>844</v>
      </c>
      <c r="I184" s="47"/>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5" t="s">
        <v>308</v>
      </c>
      <c r="B185" s="30" t="str">
        <f>VLOOKUP(A185,'HECVAT - Full'!A$24:B$312,2,FALSE)</f>
        <v>Is there a defined problem/issue escalation plan in your DRP for impacted clients?</v>
      </c>
      <c r="C185" s="37" t="s">
        <v>569</v>
      </c>
      <c r="D185" s="41"/>
      <c r="E185" s="38"/>
      <c r="F185" s="37" t="s">
        <v>698</v>
      </c>
      <c r="G185" s="46" t="s">
        <v>718</v>
      </c>
      <c r="H185" s="39" t="s">
        <v>844</v>
      </c>
      <c r="I185" s="39">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5" t="s">
        <v>309</v>
      </c>
      <c r="B186" s="30" t="str">
        <f>VLOOKUP(A186,'HECVAT - Full'!A$24:B$312,2,FALSE)</f>
        <v>Is there a documented communication plan in your DRP for impacted clients?</v>
      </c>
      <c r="C186" s="37" t="s">
        <v>569</v>
      </c>
      <c r="D186" s="41"/>
      <c r="E186" s="37" t="s">
        <v>616</v>
      </c>
      <c r="F186" s="37" t="s">
        <v>698</v>
      </c>
      <c r="G186" s="46" t="s">
        <v>718</v>
      </c>
      <c r="H186" s="39" t="s">
        <v>844</v>
      </c>
      <c r="I186" s="39">
        <v>12.8</v>
      </c>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25" customHeight="1" x14ac:dyDescent="0.2">
      <c r="A187" s="15" t="s">
        <v>310</v>
      </c>
      <c r="B187" s="30" t="str">
        <f>VLOOKUP(A187,'HECVAT - Full'!A$24:B$312,2,FALSE)</f>
        <v>Describe or provide a reference to how your disaster recovery plan is tested? (i.e. scope of DR tests, end-to-end testing, etc.)</v>
      </c>
      <c r="C187" s="37" t="s">
        <v>569</v>
      </c>
      <c r="D187" s="41"/>
      <c r="E187" s="37" t="s">
        <v>640</v>
      </c>
      <c r="F187" s="37" t="s">
        <v>698</v>
      </c>
      <c r="G187" s="46" t="s">
        <v>718</v>
      </c>
      <c r="H187" s="39" t="s">
        <v>844</v>
      </c>
      <c r="I187" s="4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5" t="s">
        <v>311</v>
      </c>
      <c r="B188" s="30" t="str">
        <f>VLOOKUP(A188,'HECVAT - Full'!A$24:B$312,2,FALSE)</f>
        <v>Has the Disaster Recovery Plan been tested in the last year?  Please provide a summary of the results in Additional Information (including actual recovery time).</v>
      </c>
      <c r="C188" s="37" t="s">
        <v>569</v>
      </c>
      <c r="D188" s="41"/>
      <c r="E188" s="37" t="s">
        <v>640</v>
      </c>
      <c r="F188" s="37" t="s">
        <v>698</v>
      </c>
      <c r="G188" s="46" t="s">
        <v>718</v>
      </c>
      <c r="H188" s="39" t="s">
        <v>844</v>
      </c>
      <c r="I188" s="47"/>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312</v>
      </c>
      <c r="B189" s="30" t="str">
        <f>VLOOKUP(A189,'HECVAT - Full'!A$24:B$312,2,FALSE)</f>
        <v>Do the documented test results identify your organizations actual recovery time capabilities for technology and facilities?</v>
      </c>
      <c r="C189" s="37" t="s">
        <v>569</v>
      </c>
      <c r="D189" s="41"/>
      <c r="E189" s="37" t="s">
        <v>662</v>
      </c>
      <c r="F189" s="37" t="s">
        <v>698</v>
      </c>
      <c r="G189" s="47"/>
      <c r="H189" s="39" t="s">
        <v>844</v>
      </c>
      <c r="I189" s="39">
        <v>12.8</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313</v>
      </c>
      <c r="B190" s="30" t="str">
        <f>VLOOKUP(A190,'HECVAT - Full'!A$24:B$312,2,FALSE)</f>
        <v xml:space="preserve">Are all components of the DRP reviewed at least annually and updated as needed to reflect change? </v>
      </c>
      <c r="C190" s="37" t="s">
        <v>569</v>
      </c>
      <c r="D190" s="41"/>
      <c r="E190" s="37" t="s">
        <v>639</v>
      </c>
      <c r="F190" s="37" t="s">
        <v>698</v>
      </c>
      <c r="G190" s="46" t="s">
        <v>718</v>
      </c>
      <c r="H190" s="39" t="s">
        <v>844</v>
      </c>
      <c r="I190" s="47"/>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5" t="s">
        <v>314</v>
      </c>
      <c r="B191" s="30" t="str">
        <f>VLOOKUP(A191,'HECVAT - Full'!A$24:B$312,2,FALSE)</f>
        <v>Do you carry cyber-risk insurance to protect against unforeseen service outages, data that is lost or stolen, and security incidents?</v>
      </c>
      <c r="C191" s="38"/>
      <c r="D191" s="41"/>
      <c r="E191" s="38"/>
      <c r="F191" s="38"/>
      <c r="G191" s="46" t="s">
        <v>737</v>
      </c>
      <c r="H191" s="39" t="s">
        <v>844</v>
      </c>
      <c r="I191" s="39">
        <v>12.8</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04" t="str">
        <f>IF($C$30="","Firewalls, IDS, IPS, and Networking",IF($C$30="Yes","FW/IDPS/Networks - Optional based on QUALIFIER response.","Firewalls, IDS, IPS, and Networking"))</f>
        <v>Firewalls, IDS, IPS, and Networking</v>
      </c>
      <c r="B192" s="304"/>
      <c r="C192" s="36" t="str">
        <f>$C$22</f>
        <v>CIS Critical Security Controls v6.1</v>
      </c>
      <c r="D192" s="36" t="str">
        <f>$D$22</f>
        <v>HIPAA</v>
      </c>
      <c r="E192" s="36" t="str">
        <f>$E$22</f>
        <v>ISO 27002:2013</v>
      </c>
      <c r="F192" s="36" t="str">
        <f>$F$22</f>
        <v>NIST Cybersecurity Framework</v>
      </c>
      <c r="G192" s="25" t="str">
        <f>$G$22</f>
        <v>NIST SP 800-171r1</v>
      </c>
      <c r="H192" s="36" t="str">
        <f>$H$22</f>
        <v>NIST SP 800-53r4</v>
      </c>
      <c r="I192" s="167" t="s">
        <v>2044</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315</v>
      </c>
      <c r="B193" s="30" t="str">
        <f>VLOOKUP(A193,'HECVAT - Full'!A$24:B$312,2,FALSE)</f>
        <v>Are you utilizing a web application firewall (WAF)?</v>
      </c>
      <c r="C193" s="37" t="s">
        <v>583</v>
      </c>
      <c r="D193" s="41"/>
      <c r="E193" s="37" t="s">
        <v>664</v>
      </c>
      <c r="F193" s="37" t="s">
        <v>794</v>
      </c>
      <c r="G193" s="47"/>
      <c r="H193" s="38"/>
      <c r="I193" s="168">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5" t="s">
        <v>316</v>
      </c>
      <c r="B194" s="30" t="str">
        <f>VLOOKUP(A194,'HECVAT - Full'!A$24:B$312,2,FALSE)</f>
        <v>Are you utilizing a stateful packet inspection (SPI) firewall?</v>
      </c>
      <c r="C194" s="37" t="s">
        <v>583</v>
      </c>
      <c r="D194" s="41"/>
      <c r="E194" s="37" t="s">
        <v>664</v>
      </c>
      <c r="F194" s="37" t="s">
        <v>794</v>
      </c>
      <c r="G194" s="47"/>
      <c r="H194" s="38"/>
      <c r="I194" s="168">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5" t="s">
        <v>317</v>
      </c>
      <c r="B195" s="30" t="str">
        <f>VLOOKUP(A195,'HECVAT - Full'!A$24:B$312,2,FALSE)</f>
        <v>State and describe who has the authority to change firewall rules?</v>
      </c>
      <c r="C195" s="37" t="s">
        <v>583</v>
      </c>
      <c r="D195" s="41"/>
      <c r="E195" s="37" t="s">
        <v>638</v>
      </c>
      <c r="F195" s="37" t="s">
        <v>792</v>
      </c>
      <c r="G195" s="47"/>
      <c r="H195" s="38"/>
      <c r="I195" s="168">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318</v>
      </c>
      <c r="B196" s="30" t="str">
        <f>VLOOKUP(A196,'HECVAT - Full'!A$24:B$312,2,FALSE)</f>
        <v>Do you have a documented policy for firewall change requests?</v>
      </c>
      <c r="C196" s="37" t="s">
        <v>583</v>
      </c>
      <c r="D196" s="41"/>
      <c r="E196" s="37" t="s">
        <v>645</v>
      </c>
      <c r="F196" s="37" t="s">
        <v>792</v>
      </c>
      <c r="G196" s="47"/>
      <c r="H196" s="38"/>
      <c r="I196" s="168">
        <v>1.1000000000000001</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319</v>
      </c>
      <c r="B197" s="30" t="str">
        <f>VLOOKUP(A197,'HECVAT - Full'!A$24:B$312,2,FALSE)</f>
        <v>Have you implemented an Intrusion Detection System (network-based)?</v>
      </c>
      <c r="C197" s="37" t="s">
        <v>586</v>
      </c>
      <c r="D197" s="41"/>
      <c r="E197" s="37" t="s">
        <v>658</v>
      </c>
      <c r="F197" s="37" t="s">
        <v>795</v>
      </c>
      <c r="G197" s="46" t="s">
        <v>738</v>
      </c>
      <c r="H197" s="37" t="s">
        <v>859</v>
      </c>
      <c r="I197" s="168">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320</v>
      </c>
      <c r="B198" s="30" t="str">
        <f>VLOOKUP(A198,'HECVAT - Full'!A$24:B$312,2,FALSE)</f>
        <v>Have you implemented an Intrusion Prevention System (network-based)?</v>
      </c>
      <c r="C198" s="37" t="s">
        <v>586</v>
      </c>
      <c r="D198" s="41"/>
      <c r="E198" s="37" t="s">
        <v>658</v>
      </c>
      <c r="F198" s="37" t="s">
        <v>795</v>
      </c>
      <c r="G198" s="46" t="s">
        <v>738</v>
      </c>
      <c r="H198" s="37" t="s">
        <v>859</v>
      </c>
      <c r="I198" s="168">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321</v>
      </c>
      <c r="B199" s="30" t="str">
        <f>VLOOKUP(A199,'HECVAT - Full'!A$24:B$312,2,FALSE)</f>
        <v>Do you employ host-based intrusion detection?</v>
      </c>
      <c r="C199" s="37" t="s">
        <v>586</v>
      </c>
      <c r="D199" s="41"/>
      <c r="E199" s="37" t="s">
        <v>658</v>
      </c>
      <c r="F199" s="37" t="s">
        <v>795</v>
      </c>
      <c r="G199" s="46" t="s">
        <v>738</v>
      </c>
      <c r="H199" s="37" t="s">
        <v>859</v>
      </c>
      <c r="I199" s="168">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5" t="s">
        <v>322</v>
      </c>
      <c r="B200" s="30" t="str">
        <f>VLOOKUP(A200,'HECVAT - Full'!A$24:B$312,2,FALSE)</f>
        <v>Do you employ host-based intrusion prevention?</v>
      </c>
      <c r="C200" s="37" t="s">
        <v>586</v>
      </c>
      <c r="D200" s="41"/>
      <c r="E200" s="37" t="s">
        <v>658</v>
      </c>
      <c r="F200" s="37" t="s">
        <v>795</v>
      </c>
      <c r="G200" s="46" t="s">
        <v>738</v>
      </c>
      <c r="H200" s="37" t="s">
        <v>859</v>
      </c>
      <c r="I200" s="168">
        <v>11.4</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5" t="s">
        <v>323</v>
      </c>
      <c r="B201" s="30" t="str">
        <f>VLOOKUP(A201,'HECVAT - Full'!A$24:B$312,2,FALSE)</f>
        <v>Are you employing any next-generation persistent threat (NGPT) monitoring?</v>
      </c>
      <c r="C201" s="37" t="s">
        <v>586</v>
      </c>
      <c r="D201" s="41"/>
      <c r="E201" s="37" t="s">
        <v>665</v>
      </c>
      <c r="F201" s="38"/>
      <c r="G201" s="46" t="s">
        <v>738</v>
      </c>
      <c r="H201" s="37" t="s">
        <v>859</v>
      </c>
      <c r="I201" s="168">
        <v>11.5</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324</v>
      </c>
      <c r="B202" s="30" t="str">
        <f>VLOOKUP(A202,'HECVAT - Full'!A$24:B$312,2,FALSE)</f>
        <v>Do you monitor for intrusions on a 24x7x365 basis?</v>
      </c>
      <c r="C202" s="37" t="s">
        <v>586</v>
      </c>
      <c r="D202" s="41"/>
      <c r="E202" s="37" t="s">
        <v>665</v>
      </c>
      <c r="F202" s="37" t="s">
        <v>796</v>
      </c>
      <c r="G202" s="46" t="s">
        <v>738</v>
      </c>
      <c r="H202" s="37" t="s">
        <v>859</v>
      </c>
      <c r="I202" s="168">
        <v>11.4</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325</v>
      </c>
      <c r="B203" s="30" t="str">
        <f>VLOOKUP(A203,'HECVAT - Full'!A$24:B$312,2,FALSE)</f>
        <v>Is intrusion monitoring performed internally or by a third-party service?</v>
      </c>
      <c r="C203" s="37" t="s">
        <v>587</v>
      </c>
      <c r="D203" s="41"/>
      <c r="E203" s="37" t="s">
        <v>665</v>
      </c>
      <c r="F203" s="37" t="s">
        <v>796</v>
      </c>
      <c r="G203" s="46" t="s">
        <v>738</v>
      </c>
      <c r="H203" s="37" t="s">
        <v>859</v>
      </c>
      <c r="I203" s="168" t="s">
        <v>2128</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15" t="s">
        <v>326</v>
      </c>
      <c r="B204" s="30" t="str">
        <f>VLOOKUP(A204,'HECVAT - Full'!A$24:B$312,2,FALSE)</f>
        <v>Are audit logs available for all changes to the network, firewall, IDS, and IPS systems?</v>
      </c>
      <c r="C204" s="37" t="s">
        <v>578</v>
      </c>
      <c r="D204" s="41"/>
      <c r="E204" s="37" t="s">
        <v>665</v>
      </c>
      <c r="F204" s="37" t="s">
        <v>797</v>
      </c>
      <c r="G204" s="46" t="s">
        <v>739</v>
      </c>
      <c r="H204" s="37" t="s">
        <v>862</v>
      </c>
      <c r="I204" s="168" t="s">
        <v>2129</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304" t="str">
        <f>IF(OR($C$25="No",$C$30="Yes"),"Mobile Applications - Optional based on QUALIFIER response.","Mobile Applications")</f>
        <v>Mobile Applications</v>
      </c>
      <c r="B205" s="304"/>
      <c r="C205" s="36" t="str">
        <f>$C$22</f>
        <v>CIS Critical Security Controls v6.1</v>
      </c>
      <c r="D205" s="36" t="str">
        <f>$D$22</f>
        <v>HIPAA</v>
      </c>
      <c r="E205" s="36" t="str">
        <f>$E$22</f>
        <v>ISO 27002:2013</v>
      </c>
      <c r="F205" s="36" t="str">
        <f>$F$22</f>
        <v>NIST Cybersecurity Framework</v>
      </c>
      <c r="G205" s="25" t="str">
        <f>$G$22</f>
        <v>NIST SP 800-171r1</v>
      </c>
      <c r="H205" s="36" t="str">
        <f>$H$22</f>
        <v>NIST SP 800-53r4</v>
      </c>
      <c r="I205" s="167" t="s">
        <v>2044</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8" customHeight="1" x14ac:dyDescent="0.2">
      <c r="A206" s="15" t="s">
        <v>327</v>
      </c>
      <c r="B206" s="30" t="str">
        <f>VLOOKUP(A206,'HECVAT - Full'!A$24:B$312,2,FALSE)</f>
        <v>On which mobile operating systems is your software or service supported?</v>
      </c>
      <c r="C206" s="37" t="s">
        <v>568</v>
      </c>
      <c r="D206" s="41"/>
      <c r="E206" s="38"/>
      <c r="F206" s="38"/>
      <c r="G206" s="48"/>
      <c r="H206" s="38"/>
      <c r="I206" s="38"/>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7" customHeight="1" x14ac:dyDescent="0.2">
      <c r="A207" s="15" t="s">
        <v>328</v>
      </c>
      <c r="B207" s="30" t="str">
        <f>VLOOKUP(A207,'HECVAT - Full'!A$24:B$312,2,FALSE)</f>
        <v>Describe or provide a reference to the application's architecture and functionality.</v>
      </c>
      <c r="C207" s="37" t="s">
        <v>582</v>
      </c>
      <c r="D207" s="41"/>
      <c r="E207" s="38"/>
      <c r="F207" s="37" t="s">
        <v>798</v>
      </c>
      <c r="G207" s="48"/>
      <c r="H207" s="38"/>
      <c r="I207" s="38"/>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36" customHeight="1" x14ac:dyDescent="0.2">
      <c r="A208" s="15" t="s">
        <v>329</v>
      </c>
      <c r="B208" s="30" t="str">
        <f>VLOOKUP(A208,'HECVAT - Full'!A$24:B$312,2,FALSE)</f>
        <v>Is the application available from a trusted source (e.g., iTunes App Store, Android Market, BB World)?</v>
      </c>
      <c r="C208" s="37" t="s">
        <v>568</v>
      </c>
      <c r="D208" s="41"/>
      <c r="E208" s="38"/>
      <c r="F208" s="37" t="s">
        <v>798</v>
      </c>
      <c r="G208" s="47"/>
      <c r="H208" s="38"/>
      <c r="I208" s="3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65" customHeight="1" x14ac:dyDescent="0.2">
      <c r="A209" s="15" t="s">
        <v>330</v>
      </c>
      <c r="B209" s="30" t="str">
        <f>VLOOKUP(A209,'HECVAT - Full'!A$24:B$312,2,FALSE)</f>
        <v>Does the application store, process, or transmit critical data?</v>
      </c>
      <c r="C209" s="37" t="s">
        <v>588</v>
      </c>
      <c r="D209" s="41"/>
      <c r="E209" s="37" t="s">
        <v>666</v>
      </c>
      <c r="F209" s="37" t="s">
        <v>799</v>
      </c>
      <c r="G209" s="47"/>
      <c r="H209" s="38"/>
      <c r="I209" s="38"/>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331</v>
      </c>
      <c r="B210" s="30" t="str">
        <f>VLOOKUP(A210,'HECVAT - Full'!A$24:B$312,2,FALSE)</f>
        <v>Is Institution's data encrypted in transport?</v>
      </c>
      <c r="C210" s="37" t="s">
        <v>567</v>
      </c>
      <c r="D210" s="41"/>
      <c r="E210" s="37" t="s">
        <v>667</v>
      </c>
      <c r="F210" s="37" t="s">
        <v>799</v>
      </c>
      <c r="G210" s="46" t="s">
        <v>740</v>
      </c>
      <c r="H210" s="37" t="s">
        <v>863</v>
      </c>
      <c r="I210" s="37">
        <v>4.0999999999999996</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36" customHeight="1" x14ac:dyDescent="0.2">
      <c r="A211" s="15" t="s">
        <v>332</v>
      </c>
      <c r="B211" s="30" t="str">
        <f>VLOOKUP(A211,'HECVAT - Full'!A$24:B$312,2,FALSE)</f>
        <v>Is Institution's data encrypted in storage? (e.g. disk encryption, at-rest)</v>
      </c>
      <c r="C211" s="37" t="s">
        <v>570</v>
      </c>
      <c r="D211" s="41"/>
      <c r="E211" s="37" t="s">
        <v>667</v>
      </c>
      <c r="F211" s="37" t="s">
        <v>800</v>
      </c>
      <c r="G211" s="47"/>
      <c r="H211" s="38"/>
      <c r="I211" s="38"/>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333</v>
      </c>
      <c r="B212" s="30" t="str">
        <f>VLOOKUP(A212,'HECVAT - Full'!A$24:B$312,2,FALSE)</f>
        <v>Does the mobile application support Kerberos, CAS, or Active Directory authentication?</v>
      </c>
      <c r="C212" s="37" t="s">
        <v>576</v>
      </c>
      <c r="D212" s="41"/>
      <c r="E212" s="37" t="s">
        <v>668</v>
      </c>
      <c r="F212" s="38"/>
      <c r="G212" s="47"/>
      <c r="H212" s="38"/>
      <c r="I212" s="38"/>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48" customHeight="1" x14ac:dyDescent="0.2">
      <c r="A213" s="15" t="s">
        <v>334</v>
      </c>
      <c r="B213" s="30" t="str">
        <f>VLOOKUP(A213,'HECVAT - Full'!A$24:B$312,2,FALSE)</f>
        <v>Will any of these systems be implemented on systems hosting the Institution's data?</v>
      </c>
      <c r="C213" s="37" t="s">
        <v>576</v>
      </c>
      <c r="D213" s="41"/>
      <c r="E213" s="38"/>
      <c r="F213" s="38"/>
      <c r="G213" s="47"/>
      <c r="H213" s="38"/>
      <c r="I213" s="38"/>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335</v>
      </c>
      <c r="B214" s="30" t="str">
        <f>VLOOKUP(A214,'HECVAT - Full'!A$24:B$312,2,FALSE)</f>
        <v>Does the application adhere to secure coding practices (e.g. OWASP, etc.)?</v>
      </c>
      <c r="C214" s="37" t="s">
        <v>568</v>
      </c>
      <c r="D214" s="41"/>
      <c r="E214" s="37" t="s">
        <v>620</v>
      </c>
      <c r="F214" s="37" t="s">
        <v>798</v>
      </c>
      <c r="G214" s="47"/>
      <c r="H214" s="38"/>
      <c r="I214" s="38"/>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5" t="s">
        <v>336</v>
      </c>
      <c r="B215" s="30" t="str">
        <f>VLOOKUP(A215,'HECVAT - Full'!A$24:B$312,2,FALSE)</f>
        <v>Has the application been tested for vulnerabilities by a third party?</v>
      </c>
      <c r="C215" s="37" t="s">
        <v>568</v>
      </c>
      <c r="D215" s="41"/>
      <c r="E215" s="37" t="s">
        <v>669</v>
      </c>
      <c r="F215" s="37" t="s">
        <v>801</v>
      </c>
      <c r="G215" s="47"/>
      <c r="H215" s="38"/>
      <c r="I215" s="38"/>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5" t="s">
        <v>554</v>
      </c>
      <c r="B216" s="30" t="str">
        <f>VLOOKUP(A216,'HECVAT - Full'!A$24:B$312,2,FALSE)</f>
        <v>State the party that performed the vulnerability test and the date it was conducted?</v>
      </c>
      <c r="C216" s="37" t="s">
        <v>568</v>
      </c>
      <c r="D216" s="41"/>
      <c r="E216" s="37" t="s">
        <v>669</v>
      </c>
      <c r="F216" s="37" t="s">
        <v>801</v>
      </c>
      <c r="G216" s="48"/>
      <c r="H216" s="38"/>
      <c r="I216" s="38"/>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304" t="str">
        <f>IF($C$30="","Physical Security",IF($C$30="Yes","Physical Security - Optional based on QUALIFIER response.","Physical Security"))</f>
        <v>Physical Security</v>
      </c>
      <c r="B217" s="304"/>
      <c r="C217" s="36" t="str">
        <f>$C$22</f>
        <v>CIS Critical Security Controls v6.1</v>
      </c>
      <c r="D217" s="36" t="str">
        <f>$D$22</f>
        <v>HIPAA</v>
      </c>
      <c r="E217" s="36" t="str">
        <f>$E$22</f>
        <v>ISO 27002:2013</v>
      </c>
      <c r="F217" s="36" t="str">
        <f>$F$22</f>
        <v>NIST Cybersecurity Framework</v>
      </c>
      <c r="G217" s="25" t="str">
        <f>$G$22</f>
        <v>NIST SP 800-171r1</v>
      </c>
      <c r="H217" s="36" t="str">
        <f>$H$22</f>
        <v>NIST SP 800-53r4</v>
      </c>
      <c r="I217" s="167" t="s">
        <v>2044</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64.25" customHeight="1" x14ac:dyDescent="0.2">
      <c r="A218" s="15" t="s">
        <v>337</v>
      </c>
      <c r="B218" s="30" t="str">
        <f>VLOOKUP(A218,'HECVAT - Full'!A$24:B$312,2,FALSE)</f>
        <v>Does your organization have physical security controls and policies in place?</v>
      </c>
      <c r="C218" s="37" t="s">
        <v>582</v>
      </c>
      <c r="D218" s="42"/>
      <c r="E218" s="37" t="s">
        <v>657</v>
      </c>
      <c r="F218" s="37" t="s">
        <v>802</v>
      </c>
      <c r="G218" s="46" t="s">
        <v>741</v>
      </c>
      <c r="H218" s="37" t="s">
        <v>864</v>
      </c>
      <c r="I218" s="37" t="s">
        <v>2127</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338</v>
      </c>
      <c r="B219" s="30" t="str">
        <f>VLOOKUP(A219,'HECVAT - Full'!A$24:B$312,2,FALSE)</f>
        <v>Are employees allowed to take home Institution's data in any form?</v>
      </c>
      <c r="C219" s="37" t="s">
        <v>567</v>
      </c>
      <c r="D219" s="42"/>
      <c r="E219" s="37" t="s">
        <v>667</v>
      </c>
      <c r="F219" s="37" t="s">
        <v>803</v>
      </c>
      <c r="G219" s="46" t="s">
        <v>743</v>
      </c>
      <c r="H219" s="37" t="s">
        <v>865</v>
      </c>
      <c r="I219" s="37" t="s">
        <v>2130</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339</v>
      </c>
      <c r="B220" s="30" t="str">
        <f>VLOOKUP(A220,'HECVAT - Full'!A$24:B$312,2,FALSE)</f>
        <v>Are video monitoring feeds retained?</v>
      </c>
      <c r="C220" s="37" t="s">
        <v>582</v>
      </c>
      <c r="D220" s="42"/>
      <c r="E220" s="37" t="s">
        <v>671</v>
      </c>
      <c r="F220" s="37" t="s">
        <v>804</v>
      </c>
      <c r="G220" s="46" t="s">
        <v>742</v>
      </c>
      <c r="H220" s="37" t="s">
        <v>866</v>
      </c>
      <c r="I220" s="37" t="s">
        <v>2127</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340</v>
      </c>
      <c r="B221" s="30" t="str">
        <f>VLOOKUP(A221,'HECVAT - Full'!A$24:B$312,2,FALSE)</f>
        <v>Are video feeds monitored by datacenter staff?</v>
      </c>
      <c r="C221" s="37" t="s">
        <v>582</v>
      </c>
      <c r="D221" s="42"/>
      <c r="E221" s="37" t="s">
        <v>672</v>
      </c>
      <c r="F221" s="37" t="s">
        <v>804</v>
      </c>
      <c r="G221" s="46" t="s">
        <v>742</v>
      </c>
      <c r="H221" s="37" t="s">
        <v>866</v>
      </c>
      <c r="I221" s="37" t="s">
        <v>2127</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15" t="s">
        <v>341</v>
      </c>
      <c r="B222" s="30" t="str">
        <f>VLOOKUP(A222,'HECVAT - Full'!A$24:B$312,2,FALSE)</f>
        <v>Are individuals required to sign in/out for installation and removal of equipment?</v>
      </c>
      <c r="C222" s="37" t="s">
        <v>570</v>
      </c>
      <c r="D222" s="42"/>
      <c r="E222" s="37" t="s">
        <v>670</v>
      </c>
      <c r="F222" s="37" t="s">
        <v>788</v>
      </c>
      <c r="G222" s="46" t="s">
        <v>744</v>
      </c>
      <c r="H222" s="105" t="s">
        <v>865</v>
      </c>
      <c r="I222" s="37" t="s">
        <v>2127</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36" customHeight="1" x14ac:dyDescent="0.2">
      <c r="A223" s="304" t="str">
        <f>IF($C$30="","Policies, Procedures, and Processes",IF($C$30="Yes","Pol/Pro/Proc - Optional based on QUALIFIER response.","Policies, Procedures, and Processes"))</f>
        <v>Policies, Procedures, and Processes</v>
      </c>
      <c r="B223" s="304"/>
      <c r="C223" s="36" t="str">
        <f>$C$22</f>
        <v>CIS Critical Security Controls v6.1</v>
      </c>
      <c r="D223" s="36" t="str">
        <f>$D$22</f>
        <v>HIPAA</v>
      </c>
      <c r="E223" s="36" t="str">
        <f>$E$22</f>
        <v>ISO 27002:2013</v>
      </c>
      <c r="F223" s="36" t="str">
        <f>$F$22</f>
        <v>NIST Cybersecurity Framework</v>
      </c>
      <c r="G223" s="25" t="str">
        <f>$G$22</f>
        <v>NIST SP 800-171r1</v>
      </c>
      <c r="H223" s="36" t="str">
        <f>$H$22</f>
        <v>NIST SP 800-53r4</v>
      </c>
      <c r="I223" s="167" t="s">
        <v>2044</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2" customHeight="1" x14ac:dyDescent="0.2">
      <c r="A224" s="15" t="s">
        <v>342</v>
      </c>
      <c r="B224" s="30" t="str">
        <f>VLOOKUP(A224,'HECVAT - Full'!A$24:B$312,2,FALSE)</f>
        <v>Can you share the organization chart, mission statement, and policies for your information security unit?</v>
      </c>
      <c r="C224" s="38"/>
      <c r="D224" s="38"/>
      <c r="E224" s="37" t="s">
        <v>673</v>
      </c>
      <c r="F224" s="37" t="s">
        <v>805</v>
      </c>
      <c r="G224" s="46" t="s">
        <v>745</v>
      </c>
      <c r="H224" s="37" t="s">
        <v>867</v>
      </c>
      <c r="I224" s="37" t="s">
        <v>2131</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343</v>
      </c>
      <c r="B225" s="30" t="str">
        <f>VLOOKUP(A225,'HECVAT - Full'!A$24:B$312,2,FALSE)</f>
        <v>Do you have a documented patch management process?</v>
      </c>
      <c r="C225" s="37" t="s">
        <v>589</v>
      </c>
      <c r="D225" s="38"/>
      <c r="E225" s="37" t="s">
        <v>646</v>
      </c>
      <c r="F225" s="37" t="s">
        <v>806</v>
      </c>
      <c r="G225" s="47"/>
      <c r="H225" s="37" t="s">
        <v>868</v>
      </c>
      <c r="I225" s="37" t="s">
        <v>2132</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15" t="s">
        <v>344</v>
      </c>
      <c r="B226" s="30" t="str">
        <f>VLOOKUP(A226,'HECVAT - Full'!A$24:B$312,2,FALSE)</f>
        <v>Can you accommodate encryption requirements using open standards?</v>
      </c>
      <c r="C226" s="37" t="s">
        <v>567</v>
      </c>
      <c r="D226" s="38"/>
      <c r="E226" s="37" t="s">
        <v>681</v>
      </c>
      <c r="F226" s="38"/>
      <c r="G226" s="47"/>
      <c r="H226" s="37" t="s">
        <v>868</v>
      </c>
      <c r="I226" s="37"/>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345</v>
      </c>
      <c r="B227" s="30" t="str">
        <f>VLOOKUP(A227,'HECVAT - Full'!A$24:B$312,2,FALSE)</f>
        <v>Have your developers been trained in secure coding techniques?</v>
      </c>
      <c r="C227" s="37" t="s">
        <v>591</v>
      </c>
      <c r="D227" s="38"/>
      <c r="E227" s="37" t="s">
        <v>620</v>
      </c>
      <c r="F227" s="38"/>
      <c r="G227" s="47"/>
      <c r="H227" s="37" t="s">
        <v>868</v>
      </c>
      <c r="I227" s="37" t="s">
        <v>2133</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346</v>
      </c>
      <c r="B228" s="30" t="str">
        <f>VLOOKUP(A228,'HECVAT - Full'!A$24:B$312,2,FALSE)</f>
        <v>Was your application developed using secure coding techniques?</v>
      </c>
      <c r="C228" s="37" t="s">
        <v>589</v>
      </c>
      <c r="D228" s="38"/>
      <c r="E228" s="37" t="s">
        <v>620</v>
      </c>
      <c r="F228" s="38"/>
      <c r="G228" s="47"/>
      <c r="H228" s="37" t="s">
        <v>868</v>
      </c>
      <c r="I228" s="37">
        <v>6.3</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48" customHeight="1" x14ac:dyDescent="0.2">
      <c r="A229" s="15" t="s">
        <v>347</v>
      </c>
      <c r="B229" s="30" t="str">
        <f>VLOOKUP(A229,'HECVAT - Full'!A$24:B$312,2,FALSE)</f>
        <v>Do you subject your code to static code analysis and/or static application security testing prior to release?</v>
      </c>
      <c r="C229" s="37" t="s">
        <v>589</v>
      </c>
      <c r="D229" s="38"/>
      <c r="E229" s="37" t="s">
        <v>682</v>
      </c>
      <c r="F229" s="37" t="s">
        <v>807</v>
      </c>
      <c r="G229" s="47"/>
      <c r="H229" s="37" t="s">
        <v>868</v>
      </c>
      <c r="I229" s="37" t="s">
        <v>2134</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84" customHeight="1" x14ac:dyDescent="0.2">
      <c r="A230" s="15" t="s">
        <v>348</v>
      </c>
      <c r="B230" s="30" t="str">
        <f>VLOOKUP(A230,'HECVAT - Full'!A$24:B$312,2,FALSE)</f>
        <v>Do you have software testing processes (dynamic or static) that are established and followed?</v>
      </c>
      <c r="C230" s="37" t="s">
        <v>589</v>
      </c>
      <c r="D230" s="38"/>
      <c r="E230" s="37" t="s">
        <v>674</v>
      </c>
      <c r="F230" s="37" t="s">
        <v>808</v>
      </c>
      <c r="G230" s="46" t="s">
        <v>718</v>
      </c>
      <c r="H230" s="37" t="s">
        <v>868</v>
      </c>
      <c r="I230" s="37" t="s">
        <v>2135</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5" t="s">
        <v>349</v>
      </c>
      <c r="B231" s="30" t="str">
        <f>VLOOKUP(A231,'HECVAT - Full'!A$24:B$312,2,FALSE)</f>
        <v>Are information security principles designed into the product lifecycle?</v>
      </c>
      <c r="C231" s="37" t="s">
        <v>589</v>
      </c>
      <c r="D231" s="38"/>
      <c r="E231" s="37" t="s">
        <v>620</v>
      </c>
      <c r="F231" s="38"/>
      <c r="G231" s="46" t="s">
        <v>746</v>
      </c>
      <c r="H231" s="37" t="s">
        <v>868</v>
      </c>
      <c r="I231" s="37" t="s">
        <v>2136</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350</v>
      </c>
      <c r="B232" s="30" t="str">
        <f>VLOOKUP(A232,'HECVAT - Full'!A$24:B$312,2,FALSE)</f>
        <v>Do you have a documented systems development life cycle (SDLC)?</v>
      </c>
      <c r="C232" s="37" t="s">
        <v>589</v>
      </c>
      <c r="D232" s="38"/>
      <c r="E232" s="37" t="s">
        <v>620</v>
      </c>
      <c r="F232" s="37" t="s">
        <v>809</v>
      </c>
      <c r="G232" s="47"/>
      <c r="H232" s="37" t="s">
        <v>869</v>
      </c>
      <c r="I232" s="37" t="s">
        <v>2134</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351</v>
      </c>
      <c r="B233" s="30" t="str">
        <f>VLOOKUP(A233,'HECVAT - Full'!A$24:B$312,2,FALSE)</f>
        <v>Do you have a formal incident response plan?</v>
      </c>
      <c r="C233" s="37" t="s">
        <v>586</v>
      </c>
      <c r="D233" s="38"/>
      <c r="E233" s="37" t="s">
        <v>675</v>
      </c>
      <c r="F233" s="37" t="s">
        <v>698</v>
      </c>
      <c r="G233" s="46" t="s">
        <v>747</v>
      </c>
      <c r="H233" s="37" t="s">
        <v>870</v>
      </c>
      <c r="I233" s="37" t="s">
        <v>2137</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5" t="s">
        <v>352</v>
      </c>
      <c r="B234" s="30" t="str">
        <f>VLOOKUP(A234,'HECVAT - Full'!A$24:B$312,2,FALSE)</f>
        <v>Will you comply with applicable breach notification laws?</v>
      </c>
      <c r="C234" s="37" t="s">
        <v>586</v>
      </c>
      <c r="D234" s="38"/>
      <c r="E234" s="37" t="s">
        <v>615</v>
      </c>
      <c r="F234" s="37" t="s">
        <v>696</v>
      </c>
      <c r="G234" s="46" t="s">
        <v>748</v>
      </c>
      <c r="H234" s="37" t="s">
        <v>871</v>
      </c>
      <c r="I234" s="37">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8" customHeight="1" x14ac:dyDescent="0.2">
      <c r="A235" s="15" t="s">
        <v>353</v>
      </c>
      <c r="B235" s="30" t="str">
        <f>VLOOKUP(A235,'HECVAT - Full'!A$24:B$312,2,FALSE)</f>
        <v>Will you comply with the Institution's IT policies with regards to user privacy and data protection?</v>
      </c>
      <c r="C235" s="37" t="s">
        <v>567</v>
      </c>
      <c r="D235" s="38"/>
      <c r="E235" s="37" t="s">
        <v>615</v>
      </c>
      <c r="F235" s="38"/>
      <c r="G235" s="46" t="s">
        <v>737</v>
      </c>
      <c r="H235" s="37" t="s">
        <v>872</v>
      </c>
      <c r="I235" s="37">
        <v>12.8</v>
      </c>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5" t="s">
        <v>354</v>
      </c>
      <c r="B236" s="30" t="str">
        <f>VLOOKUP(A236,'HECVAT - Full'!A$24:B$312,2,FALSE)</f>
        <v>Is your company subject to Institution's Data Zone laws and regulations?</v>
      </c>
      <c r="C236" s="37" t="s">
        <v>586</v>
      </c>
      <c r="D236" s="38"/>
      <c r="E236" s="37" t="s">
        <v>615</v>
      </c>
      <c r="F236" s="37" t="s">
        <v>696</v>
      </c>
      <c r="G236" s="47"/>
      <c r="H236" s="37" t="s">
        <v>868</v>
      </c>
      <c r="I236" s="37"/>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48" customHeight="1" x14ac:dyDescent="0.2">
      <c r="A237" s="15" t="s">
        <v>355</v>
      </c>
      <c r="B237" s="30" t="str">
        <f>VLOOKUP(A237,'HECVAT - Full'!A$24:B$312,2,FALSE)</f>
        <v>Do you perform background screenings or multi-state background checks on all employees prior to their first day of work?</v>
      </c>
      <c r="C237" s="37" t="s">
        <v>575</v>
      </c>
      <c r="D237" s="38"/>
      <c r="E237" s="37" t="s">
        <v>676</v>
      </c>
      <c r="F237" s="37" t="s">
        <v>810</v>
      </c>
      <c r="G237" s="46" t="s">
        <v>749</v>
      </c>
      <c r="H237" s="37" t="s">
        <v>873</v>
      </c>
      <c r="I237" s="37">
        <v>12.7</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15" t="s">
        <v>356</v>
      </c>
      <c r="B238" s="30" t="str">
        <f>VLOOKUP(A238,'HECVAT - Full'!A$24:B$312,2,FALSE)</f>
        <v xml:space="preserve">Do you require new employees to fill out agreements and review policies?  </v>
      </c>
      <c r="C238" s="37" t="s">
        <v>590</v>
      </c>
      <c r="D238" s="38"/>
      <c r="E238" s="37" t="s">
        <v>677</v>
      </c>
      <c r="F238" s="37" t="s">
        <v>810</v>
      </c>
      <c r="G238" s="47"/>
      <c r="H238" s="37" t="s">
        <v>868</v>
      </c>
      <c r="I238" s="37" t="s">
        <v>2138</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357</v>
      </c>
      <c r="B239" s="30" t="str">
        <f>VLOOKUP(A239,'HECVAT - Full'!A$24:B$312,2,FALSE)</f>
        <v>Do you have documented information security policy?</v>
      </c>
      <c r="C239" s="37" t="s">
        <v>590</v>
      </c>
      <c r="D239" s="37" t="s">
        <v>598</v>
      </c>
      <c r="E239" s="37" t="s">
        <v>673</v>
      </c>
      <c r="F239" s="37" t="s">
        <v>696</v>
      </c>
      <c r="G239" s="47"/>
      <c r="H239" s="37" t="s">
        <v>868</v>
      </c>
      <c r="I239" s="37" t="s">
        <v>2140</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358</v>
      </c>
      <c r="B240" s="30" t="str">
        <f>VLOOKUP(A240,'HECVAT - Full'!A$24:B$312,2,FALSE)</f>
        <v>Do you have an information security awareness program?</v>
      </c>
      <c r="C240" s="37" t="s">
        <v>590</v>
      </c>
      <c r="D240" s="37" t="s">
        <v>600</v>
      </c>
      <c r="E240" s="37" t="s">
        <v>678</v>
      </c>
      <c r="F240" s="37" t="s">
        <v>811</v>
      </c>
      <c r="G240" s="46" t="s">
        <v>750</v>
      </c>
      <c r="H240" s="37" t="s">
        <v>874</v>
      </c>
      <c r="I240" s="37">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359</v>
      </c>
      <c r="B241" s="30" t="str">
        <f>VLOOKUP(A241,'HECVAT - Full'!A$24:B$312,2,FALSE)</f>
        <v>Is security awareness training mandatory for all employees?</v>
      </c>
      <c r="C241" s="37" t="s">
        <v>590</v>
      </c>
      <c r="D241" s="37" t="s">
        <v>600</v>
      </c>
      <c r="E241" s="37" t="s">
        <v>678</v>
      </c>
      <c r="F241" s="37" t="s">
        <v>811</v>
      </c>
      <c r="G241" s="46" t="s">
        <v>751</v>
      </c>
      <c r="H241" s="37" t="s">
        <v>875</v>
      </c>
      <c r="I241" s="37">
        <v>12.6</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5" t="s">
        <v>360</v>
      </c>
      <c r="B242" s="30" t="str">
        <f>VLOOKUP(A242,'HECVAT - Full'!A$24:B$312,2,FALSE)</f>
        <v>Do you have process and procedure(s) documented, and currently followed, that require a review and update of the access-list(s) for privileged accounts?</v>
      </c>
      <c r="C242" s="37" t="s">
        <v>590</v>
      </c>
      <c r="D242" s="38"/>
      <c r="E242" s="37" t="s">
        <v>679</v>
      </c>
      <c r="F242" s="37" t="s">
        <v>770</v>
      </c>
      <c r="G242" s="46" t="s">
        <v>752</v>
      </c>
      <c r="H242" s="37" t="s">
        <v>868</v>
      </c>
      <c r="I242" s="37" t="s">
        <v>2141</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70.25" customHeight="1" x14ac:dyDescent="0.2">
      <c r="A243" s="15" t="s">
        <v>361</v>
      </c>
      <c r="B243" s="30" t="str">
        <f>VLOOKUP(A243,'HECVAT - Full'!A$24:B$312,2,FALSE)</f>
        <v>Do you have documented, and currently implemented, internal audit processes and procedures?</v>
      </c>
      <c r="C243" s="38"/>
      <c r="D243" s="38"/>
      <c r="E243" s="37" t="s">
        <v>680</v>
      </c>
      <c r="F243" s="38"/>
      <c r="G243" s="47"/>
      <c r="H243" s="37" t="s">
        <v>876</v>
      </c>
      <c r="I243" s="47"/>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36" customHeight="1" x14ac:dyDescent="0.2">
      <c r="A244" s="304" t="str">
        <f>IF($C$30="","Product Evaluation",IF($C$30="Yes","Product Evaluation - Optional based on QUALIFIER response.","Product Evaluation"))</f>
        <v>Product Evaluation</v>
      </c>
      <c r="B244" s="304"/>
      <c r="C244" s="36" t="str">
        <f>$C$22</f>
        <v>CIS Critical Security Controls v6.1</v>
      </c>
      <c r="D244" s="36" t="str">
        <f>$D$22</f>
        <v>HIPAA</v>
      </c>
      <c r="E244" s="36" t="str">
        <f>$E$22</f>
        <v>ISO 27002:2013</v>
      </c>
      <c r="F244" s="36" t="str">
        <f>$F$22</f>
        <v>NIST Cybersecurity Framework</v>
      </c>
      <c r="G244" s="25" t="str">
        <f>$G$22</f>
        <v>NIST SP 800-171r1</v>
      </c>
      <c r="H244" s="36" t="str">
        <f>$H$22</f>
        <v>NIST SP 800-53r4</v>
      </c>
      <c r="I244" s="167" t="s">
        <v>2044</v>
      </c>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5" t="s">
        <v>362</v>
      </c>
      <c r="B245" s="30" t="str">
        <f>VLOOKUP(A245,'HECVAT - Full'!A$24:B$312,2,FALSE)</f>
        <v>Do you incorporate customer feedback into security feature requests?</v>
      </c>
      <c r="C245" s="38"/>
      <c r="D245" s="41"/>
      <c r="E245" s="41"/>
      <c r="F245" s="38"/>
      <c r="G245" s="47"/>
      <c r="H245" s="41"/>
      <c r="I245" s="41"/>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15" t="s">
        <v>363</v>
      </c>
      <c r="B246" s="30" t="str">
        <f>VLOOKUP(A246,'HECVAT - Full'!A$24:B$312,2,FALSE)</f>
        <v>Can you provide an evaluation site to the institution for testing?</v>
      </c>
      <c r="C246" s="38"/>
      <c r="D246" s="41"/>
      <c r="E246" s="41"/>
      <c r="F246" s="37" t="s">
        <v>808</v>
      </c>
      <c r="G246" s="47"/>
      <c r="H246" s="41"/>
      <c r="I246" s="41"/>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36" customHeight="1" x14ac:dyDescent="0.2">
      <c r="A247" s="304" t="str">
        <f>IF($C$30="","Quality Assurance",IF($C$30="Yes","Quality Assurance - Optional based on QUALIFIER response.","Quality Assurance"))</f>
        <v>Quality Assurance</v>
      </c>
      <c r="B247" s="304"/>
      <c r="C247" s="36" t="str">
        <f>$C$22</f>
        <v>CIS Critical Security Controls v6.1</v>
      </c>
      <c r="D247" s="36" t="str">
        <f>$D$22</f>
        <v>HIPAA</v>
      </c>
      <c r="E247" s="36" t="str">
        <f>$E$22</f>
        <v>ISO 27002:2013</v>
      </c>
      <c r="F247" s="36" t="str">
        <f>$F$22</f>
        <v>NIST Cybersecurity Framework</v>
      </c>
      <c r="G247" s="25" t="str">
        <f>$G$22</f>
        <v>NIST SP 800-171r1</v>
      </c>
      <c r="H247" s="36" t="str">
        <f>$H$22</f>
        <v>NIST SP 800-53r4</v>
      </c>
      <c r="I247" s="167" t="s">
        <v>2044</v>
      </c>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5" t="s">
        <v>364</v>
      </c>
      <c r="B248" s="30" t="str">
        <f>VLOOKUP(A248,'HECVAT - Full'!A$24:B$312,2,FALSE)</f>
        <v>Provide a general summary of your Quality Assurance program.</v>
      </c>
      <c r="C248" s="37" t="s">
        <v>567</v>
      </c>
      <c r="D248" s="41"/>
      <c r="E248" s="41"/>
      <c r="F248" s="41"/>
      <c r="G248" s="48"/>
      <c r="H248" s="41"/>
      <c r="I248" s="41"/>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36" customHeight="1" x14ac:dyDescent="0.2">
      <c r="A249" s="15" t="s">
        <v>365</v>
      </c>
      <c r="B249" s="30" t="str">
        <f>VLOOKUP(A249,'HECVAT - Full'!A$24:B$312,2,FALSE)</f>
        <v>Do you comply with ISO 9001?</v>
      </c>
      <c r="C249" s="37" t="s">
        <v>567</v>
      </c>
      <c r="D249" s="41"/>
      <c r="E249" s="37" t="s">
        <v>615</v>
      </c>
      <c r="F249" s="38"/>
      <c r="G249" s="47"/>
      <c r="H249" s="41"/>
      <c r="I249" s="41"/>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 customHeight="1" x14ac:dyDescent="0.2">
      <c r="A250" s="15" t="s">
        <v>366</v>
      </c>
      <c r="B250" s="30" t="str">
        <f>VLOOKUP(A250,'HECVAT - Full'!A$24:B$312,2,FALSE)</f>
        <v>Will your company provide quality and performance metrics in relation to the scope of services and performance expectations for the services you are offering?</v>
      </c>
      <c r="C250" s="37" t="s">
        <v>567</v>
      </c>
      <c r="D250" s="41"/>
      <c r="E250" s="41"/>
      <c r="F250" s="38"/>
      <c r="G250" s="47"/>
      <c r="H250" s="41"/>
      <c r="I250" s="41"/>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53" customHeight="1" x14ac:dyDescent="0.2">
      <c r="A251" s="15" t="s">
        <v>367</v>
      </c>
      <c r="B251" s="30" t="str">
        <f>VLOOKUP(A251,'HECVAT - Full'!A$24:B$312,2,FALSE)</f>
        <v>Have you supplied products and/or services to the Institution (or its Campuses) in the last five years?</v>
      </c>
      <c r="C251" s="38"/>
      <c r="D251" s="41"/>
      <c r="E251" s="41"/>
      <c r="F251" s="38"/>
      <c r="G251" s="47"/>
      <c r="H251" s="41"/>
      <c r="I251" s="4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5" t="s">
        <v>368</v>
      </c>
      <c r="B252" s="30" t="str">
        <f>VLOOKUP(A252,'HECVAT - Full'!A$24:B$312,2,FALSE)</f>
        <v>Do you have a program to keep your customers abreast of higher education and/or industry issues?</v>
      </c>
      <c r="C252" s="37" t="s">
        <v>590</v>
      </c>
      <c r="D252" s="41"/>
      <c r="E252" s="41"/>
      <c r="F252" s="38"/>
      <c r="G252" s="47"/>
      <c r="H252" s="41"/>
      <c r="I252" s="41"/>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36" customHeight="1" x14ac:dyDescent="0.2">
      <c r="A253" s="304" t="str">
        <f>IF($C$30="","Systems Management &amp; Configuration",IF($C$30="Yes","System Mgmt/Config - Optional based on QUALIFIER response.","Systems Management &amp; Configuration"))</f>
        <v>Systems Management &amp; Configuration</v>
      </c>
      <c r="B253" s="304"/>
      <c r="C253" s="36" t="str">
        <f>$C$22</f>
        <v>CIS Critical Security Controls v6.1</v>
      </c>
      <c r="D253" s="36" t="str">
        <f>$D$22</f>
        <v>HIPAA</v>
      </c>
      <c r="E253" s="36" t="str">
        <f>$E$22</f>
        <v>ISO 27002:2013</v>
      </c>
      <c r="F253" s="36" t="str">
        <f>$F$22</f>
        <v>NIST Cybersecurity Framework</v>
      </c>
      <c r="G253" s="25" t="str">
        <f>$G$22</f>
        <v>NIST SP 800-171r1</v>
      </c>
      <c r="H253" s="36" t="str">
        <f>$H$22</f>
        <v>NIST SP 800-53r4</v>
      </c>
      <c r="I253" s="167" t="s">
        <v>2044</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9.25" customHeight="1" x14ac:dyDescent="0.2">
      <c r="A254" s="15" t="s">
        <v>369</v>
      </c>
      <c r="B254" s="30" t="str">
        <f>VLOOKUP(A254,'HECVAT - Full'!A$24:B$312,2,FALSE)</f>
        <v>Are systems that support this service managed via a separate management network?</v>
      </c>
      <c r="C254" s="37" t="s">
        <v>572</v>
      </c>
      <c r="D254" s="38"/>
      <c r="E254" s="37" t="s">
        <v>664</v>
      </c>
      <c r="F254" s="37" t="s">
        <v>812</v>
      </c>
      <c r="G254" s="46" t="s">
        <v>736</v>
      </c>
      <c r="H254" s="37" t="s">
        <v>827</v>
      </c>
      <c r="I254" s="41"/>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370</v>
      </c>
      <c r="B255" s="30" t="str">
        <f>VLOOKUP(A255,'HECVAT - Full'!A$24:B$312,2,FALSE)</f>
        <v>Do you have an implemented system configuration management process? (e.g. secure "gold" images, etc.)</v>
      </c>
      <c r="C255" s="37" t="s">
        <v>582</v>
      </c>
      <c r="D255" s="38"/>
      <c r="E255" s="38"/>
      <c r="F255" s="37" t="s">
        <v>813</v>
      </c>
      <c r="G255" s="46" t="s">
        <v>753</v>
      </c>
      <c r="H255" s="37" t="s">
        <v>877</v>
      </c>
      <c r="I255" s="41"/>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48" customHeight="1" x14ac:dyDescent="0.2">
      <c r="A256" s="15" t="s">
        <v>371</v>
      </c>
      <c r="B256" s="30" t="str">
        <f>VLOOKUP(A256,'HECVAT - Full'!A$24:B$312,2,FALSE)</f>
        <v>Are employee mobile devices managed by your company's Mobile Device Management (MDM) platform?</v>
      </c>
      <c r="C256" s="37" t="s">
        <v>582</v>
      </c>
      <c r="D256" s="38"/>
      <c r="E256" s="37" t="s">
        <v>683</v>
      </c>
      <c r="F256" s="38"/>
      <c r="G256" s="46" t="s">
        <v>754</v>
      </c>
      <c r="H256" s="38"/>
      <c r="I256" s="41"/>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25" customHeight="1" x14ac:dyDescent="0.2">
      <c r="A257" s="15" t="s">
        <v>372</v>
      </c>
      <c r="B257" s="30" t="str">
        <f>VLOOKUP(A257,'HECVAT - Full'!A$24:B$312,2,FALSE)</f>
        <v>Do you have a systems management and configuration strategy that encompasses servers, appliances, and mobile devices (company and employee owned)?</v>
      </c>
      <c r="C257" s="37" t="s">
        <v>582</v>
      </c>
      <c r="D257" s="38"/>
      <c r="E257" s="37" t="s">
        <v>628</v>
      </c>
      <c r="F257" s="37" t="s">
        <v>814</v>
      </c>
      <c r="G257" s="46" t="s">
        <v>755</v>
      </c>
      <c r="H257" s="105" t="s">
        <v>878</v>
      </c>
      <c r="I257" s="41"/>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304" t="str">
        <f>IF($C$30="","Vulnerability Scanning",IF($C$30="Yes","Vulnerability Scanning - Optional based on QUALIFIER response.","Vulnerability Scanning"))</f>
        <v>Vulnerability Scanning</v>
      </c>
      <c r="B258" s="304"/>
      <c r="C258" s="36" t="str">
        <f>$C$22</f>
        <v>CIS Critical Security Controls v6.1</v>
      </c>
      <c r="D258" s="36" t="str">
        <f>$D$22</f>
        <v>HIPAA</v>
      </c>
      <c r="E258" s="36" t="str">
        <f>$E$22</f>
        <v>ISO 27002:2013</v>
      </c>
      <c r="F258" s="36" t="str">
        <f>$F$22</f>
        <v>NIST Cybersecurity Framework</v>
      </c>
      <c r="G258" s="25" t="str">
        <f>$G$22</f>
        <v>NIST SP 800-171r1</v>
      </c>
      <c r="H258" s="36" t="str">
        <f>$H$22</f>
        <v>NIST SP 800-53r4</v>
      </c>
      <c r="I258" s="167" t="s">
        <v>2044</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373</v>
      </c>
      <c r="B259" s="30" t="str">
        <f>VLOOKUP(A259,'HECVAT - Full'!A$24:B$312,2,FALSE)</f>
        <v>Are your applications scanned externally for vulnerabilities?</v>
      </c>
      <c r="C259" s="37" t="s">
        <v>589</v>
      </c>
      <c r="D259" s="41"/>
      <c r="E259" s="37" t="s">
        <v>646</v>
      </c>
      <c r="F259" s="37" t="s">
        <v>815</v>
      </c>
      <c r="G259" s="46" t="s">
        <v>756</v>
      </c>
      <c r="H259" s="37" t="s">
        <v>879</v>
      </c>
      <c r="I259" s="168">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36" customHeight="1" x14ac:dyDescent="0.2">
      <c r="A260" s="15" t="s">
        <v>374</v>
      </c>
      <c r="B260" s="30" t="str">
        <f>VLOOKUP(A260,'HECVAT - Full'!A$24:B$312,2,FALSE)</f>
        <v>Have your applications had an external vulnerability assessment in the last year?</v>
      </c>
      <c r="C260" s="37" t="s">
        <v>589</v>
      </c>
      <c r="D260" s="41"/>
      <c r="E260" s="37" t="s">
        <v>646</v>
      </c>
      <c r="F260" s="37" t="s">
        <v>815</v>
      </c>
      <c r="G260" s="46" t="s">
        <v>756</v>
      </c>
      <c r="H260" s="37" t="s">
        <v>879</v>
      </c>
      <c r="I260" s="168">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 customHeight="1" x14ac:dyDescent="0.2">
      <c r="A261" s="15" t="s">
        <v>375</v>
      </c>
      <c r="B261" s="30" t="str">
        <f>VLOOKUP(A261,'HECVAT - Full'!A$24:B$312,2,FALSE)</f>
        <v>Are your applications scanned for vulnerabilities prior to new releases?</v>
      </c>
      <c r="C261" s="37" t="s">
        <v>589</v>
      </c>
      <c r="D261" s="41"/>
      <c r="E261" s="38"/>
      <c r="F261" s="37" t="s">
        <v>815</v>
      </c>
      <c r="G261" s="46" t="s">
        <v>756</v>
      </c>
      <c r="H261" s="37" t="s">
        <v>879</v>
      </c>
      <c r="I261" s="168">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49.25" customHeight="1" x14ac:dyDescent="0.2">
      <c r="A262" s="15" t="s">
        <v>376</v>
      </c>
      <c r="B262" s="30" t="str">
        <f>VLOOKUP(A262,'HECVAT - Full'!A$24:B$312,2,FALSE)</f>
        <v>Are your systems scanned externally for vulnerabilities?</v>
      </c>
      <c r="C262" s="37" t="s">
        <v>589</v>
      </c>
      <c r="D262" s="41"/>
      <c r="E262" s="38"/>
      <c r="F262" s="37" t="s">
        <v>815</v>
      </c>
      <c r="G262" s="46" t="s">
        <v>756</v>
      </c>
      <c r="H262" s="105" t="s">
        <v>879</v>
      </c>
      <c r="I262" s="168">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5" t="s">
        <v>377</v>
      </c>
      <c r="B263" s="30" t="str">
        <f>VLOOKUP(A263,'HECVAT - Full'!A$24:B$312,2,FALSE)</f>
        <v>Have your systems had an external vulnerability assessment in the last year?</v>
      </c>
      <c r="C263" s="37" t="s">
        <v>589</v>
      </c>
      <c r="D263" s="41"/>
      <c r="E263" s="38"/>
      <c r="F263" s="37" t="s">
        <v>815</v>
      </c>
      <c r="G263" s="47"/>
      <c r="H263" s="37" t="s">
        <v>879</v>
      </c>
      <c r="I263" s="168">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65" customHeight="1" x14ac:dyDescent="0.2">
      <c r="A264" s="15" t="s">
        <v>378</v>
      </c>
      <c r="B264" s="30" t="str">
        <f>VLOOKUP(A264,'HECVAT - Full'!A$24:B$312,2,FALSE)</f>
        <v>Describe or provide a reference to the tool(s) used to scan for vulnerabilities in your applications and systems.</v>
      </c>
      <c r="C264" s="37" t="s">
        <v>589</v>
      </c>
      <c r="D264" s="41"/>
      <c r="E264" s="38"/>
      <c r="F264" s="37" t="s">
        <v>815</v>
      </c>
      <c r="G264" s="46" t="s">
        <v>756</v>
      </c>
      <c r="H264" s="37" t="s">
        <v>879</v>
      </c>
      <c r="I264" s="168">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36" customHeight="1" x14ac:dyDescent="0.2">
      <c r="A265" s="15" t="s">
        <v>379</v>
      </c>
      <c r="B265" s="30" t="str">
        <f>VLOOKUP(A265,'HECVAT - Full'!A$24:B$312,2,FALSE)</f>
        <v>Will you provide results of security scans to the Institution?</v>
      </c>
      <c r="C265" s="37" t="s">
        <v>589</v>
      </c>
      <c r="D265" s="41"/>
      <c r="E265" s="38"/>
      <c r="F265" s="37" t="s">
        <v>815</v>
      </c>
      <c r="G265" s="47"/>
      <c r="H265" s="37" t="s">
        <v>879</v>
      </c>
      <c r="I265" s="168">
        <v>11.2</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65" customHeight="1" x14ac:dyDescent="0.2">
      <c r="A266" s="15" t="s">
        <v>380</v>
      </c>
      <c r="B266" s="30" t="str">
        <f>VLOOKUP(A266,'HECVAT - Full'!A$24:B$312,2,FALSE)</f>
        <v>Describe or provide a reference to how you monitor for and protect against common web application security vulnerabilities (e.g. SQL injection, XSS, XSRF, etc.).</v>
      </c>
      <c r="C266" s="37" t="s">
        <v>593</v>
      </c>
      <c r="D266" s="41"/>
      <c r="E266" s="37" t="s">
        <v>646</v>
      </c>
      <c r="F266" s="37" t="s">
        <v>816</v>
      </c>
      <c r="G266" s="46" t="s">
        <v>757</v>
      </c>
      <c r="H266" s="37" t="s">
        <v>879</v>
      </c>
      <c r="I266" s="168" t="s">
        <v>2142</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54" customHeight="1" x14ac:dyDescent="0.2">
      <c r="A267" s="15" t="s">
        <v>381</v>
      </c>
      <c r="B267" s="30" t="str">
        <f>VLOOKUP(A267,'HECVAT - Full'!A$24:B$312,2,FALSE)</f>
        <v>Will you allow the institution to perform its own security testing of your systems and/or application provided that testing is performed at a mutually agreed upon time and date?</v>
      </c>
      <c r="C267" s="37" t="s">
        <v>592</v>
      </c>
      <c r="D267" s="41"/>
      <c r="E267" s="37" t="s">
        <v>684</v>
      </c>
      <c r="F267" s="37" t="s">
        <v>815</v>
      </c>
      <c r="G267" s="46" t="s">
        <v>756</v>
      </c>
      <c r="H267" s="37" t="s">
        <v>879</v>
      </c>
      <c r="I267" s="168" t="s">
        <v>2143</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304" t="str">
        <f>IF(OR($C$24="No",$C$30="Yes"),"HIPAA - Optional based on QUALIFIER response.","HIPAA")</f>
        <v>HIPAA</v>
      </c>
      <c r="B268" s="304"/>
      <c r="C268" s="36" t="str">
        <f>$C$22</f>
        <v>CIS Critical Security Controls v6.1</v>
      </c>
      <c r="D268" s="36" t="str">
        <f>$D$22</f>
        <v>HIPAA</v>
      </c>
      <c r="E268" s="36" t="str">
        <f>$E$22</f>
        <v>ISO 27002:2013</v>
      </c>
      <c r="F268" s="36" t="str">
        <f>$F$22</f>
        <v>NIST Cybersecurity Framework</v>
      </c>
      <c r="G268" s="25" t="str">
        <f>$G$22</f>
        <v>NIST SP 800-171r1</v>
      </c>
      <c r="H268" s="36" t="str">
        <f>$H$22</f>
        <v>NIST SP 800-53r4</v>
      </c>
      <c r="I268" s="167" t="s">
        <v>2044</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65" customHeight="1" x14ac:dyDescent="0.2">
      <c r="A269" s="15" t="s">
        <v>382</v>
      </c>
      <c r="B269" s="30" t="str">
        <f>VLOOKUP(A269,'HECVAT - Full'!A$24:B$312,2,FALSE)</f>
        <v>Do your workforce members receive regular training related to the HIPAA Privacy and Security Rules and the HITECH Act?</v>
      </c>
      <c r="C269" s="37" t="s">
        <v>590</v>
      </c>
      <c r="D269" s="37" t="s">
        <v>600</v>
      </c>
      <c r="E269" s="37" t="s">
        <v>687</v>
      </c>
      <c r="F269" s="37" t="s">
        <v>696</v>
      </c>
      <c r="G269" s="46" t="s">
        <v>758</v>
      </c>
      <c r="H269" s="37" t="s">
        <v>880</v>
      </c>
      <c r="I269" s="38"/>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383</v>
      </c>
      <c r="B270" s="30" t="str">
        <f>VLOOKUP(A270,'HECVAT - Full'!A$24:B$312,2,FALSE)</f>
        <v>Do you monitor or receive information regarding changes in HIPAA regulations?</v>
      </c>
      <c r="C270" s="37" t="s">
        <v>567</v>
      </c>
      <c r="D270" s="37" t="s">
        <v>601</v>
      </c>
      <c r="E270" s="37" t="s">
        <v>615</v>
      </c>
      <c r="F270" s="37" t="s">
        <v>696</v>
      </c>
      <c r="G270" s="47"/>
      <c r="H270" s="38"/>
      <c r="I270" s="38"/>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384</v>
      </c>
      <c r="B271" s="30" t="str">
        <f>VLOOKUP(A271,'HECVAT - Full'!A$24:B$312,2,FALSE)</f>
        <v>Has your organization designated HIPAA Privacy and Security officers as required by the Rules?</v>
      </c>
      <c r="C271" s="37" t="s">
        <v>590</v>
      </c>
      <c r="D271" s="37" t="s">
        <v>602</v>
      </c>
      <c r="E271" s="37" t="s">
        <v>615</v>
      </c>
      <c r="F271" s="37" t="s">
        <v>696</v>
      </c>
      <c r="G271" s="47"/>
      <c r="H271" s="38"/>
      <c r="I271" s="38"/>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385</v>
      </c>
      <c r="B272" s="30" t="str">
        <f>VLOOKUP(A272,'HECVAT - Full'!A$24:B$312,2,FALSE)</f>
        <v>Do you comply with the requirements of the Health Information Technology for Economic and Clinical Health Act (HITECH)?</v>
      </c>
      <c r="C272" s="37" t="s">
        <v>567</v>
      </c>
      <c r="D272" s="38"/>
      <c r="E272" s="37" t="s">
        <v>615</v>
      </c>
      <c r="F272" s="37" t="s">
        <v>696</v>
      </c>
      <c r="G272" s="47"/>
      <c r="H272" s="38"/>
      <c r="I272" s="38"/>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386</v>
      </c>
      <c r="B273" s="30" t="str">
        <f>VLOOKUP(A273,'HECVAT - Full'!A$24:B$312,2,FALSE)</f>
        <v>Do you have an incident response process and reporting in place to investigate any potential incidents and report actual incidents?</v>
      </c>
      <c r="C273" s="37" t="s">
        <v>586</v>
      </c>
      <c r="D273" s="37" t="s">
        <v>603</v>
      </c>
      <c r="E273" s="37" t="s">
        <v>685</v>
      </c>
      <c r="F273" s="37" t="s">
        <v>696</v>
      </c>
      <c r="G273" s="46" t="s">
        <v>759</v>
      </c>
      <c r="H273" s="37" t="s">
        <v>881</v>
      </c>
      <c r="I273" s="37" t="s">
        <v>2144</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387</v>
      </c>
      <c r="B274" s="30" t="str">
        <f>VLOOKUP(A274,'HECVAT - Full'!A$24:B$312,2,FALSE)</f>
        <v>Do you have a plan to comply with the Breach Notification requirements if there is a breach of data?</v>
      </c>
      <c r="C274" s="37" t="s">
        <v>586</v>
      </c>
      <c r="D274" s="37" t="s">
        <v>689</v>
      </c>
      <c r="E274" s="37" t="s">
        <v>688</v>
      </c>
      <c r="F274" s="37" t="s">
        <v>696</v>
      </c>
      <c r="G274" s="46" t="s">
        <v>760</v>
      </c>
      <c r="H274" s="37" t="s">
        <v>882</v>
      </c>
      <c r="I274" s="37">
        <v>12.8</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388</v>
      </c>
      <c r="B275" s="30" t="str">
        <f>VLOOKUP(A275,'HECVAT - Full'!A$24:B$312,2,FALSE)</f>
        <v>Have you conducted a risk analysis as required under the Security Rule?</v>
      </c>
      <c r="C275" s="37" t="s">
        <v>567</v>
      </c>
      <c r="D275" s="37" t="s">
        <v>598</v>
      </c>
      <c r="E275" s="38"/>
      <c r="F275" s="37" t="s">
        <v>696</v>
      </c>
      <c r="G275" s="47"/>
      <c r="H275" s="38"/>
      <c r="I275" s="37">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389</v>
      </c>
      <c r="B276" s="30" t="str">
        <f>VLOOKUP(A276,'HECVAT - Full'!A$24:B$312,2,FALSE)</f>
        <v>Have you identified areas of risks?</v>
      </c>
      <c r="C276" s="37" t="s">
        <v>589</v>
      </c>
      <c r="D276" s="37" t="s">
        <v>610</v>
      </c>
      <c r="E276" s="38"/>
      <c r="F276" s="37" t="s">
        <v>696</v>
      </c>
      <c r="G276" s="47"/>
      <c r="H276" s="38"/>
      <c r="I276" s="37">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390</v>
      </c>
      <c r="B277" s="30" t="str">
        <f>VLOOKUP(A277,'HECVAT - Full'!A$24:B$312,2,FALSE)</f>
        <v>Have you taken actions to mitigate the identified risks?</v>
      </c>
      <c r="C277" s="37" t="s">
        <v>589</v>
      </c>
      <c r="D277" s="37" t="s">
        <v>599</v>
      </c>
      <c r="E277" s="38"/>
      <c r="F277" s="37" t="s">
        <v>696</v>
      </c>
      <c r="G277" s="47"/>
      <c r="H277" s="38"/>
      <c r="I277" s="37">
        <v>12.2</v>
      </c>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391</v>
      </c>
      <c r="B278" s="30" t="str">
        <f>VLOOKUP(A278,'HECVAT - Full'!A$24:B$312,2,FALSE)</f>
        <v>Does your application require user and system administrator password changes at a frequency no greater than 90 days?</v>
      </c>
      <c r="C278" s="37" t="s">
        <v>576</v>
      </c>
      <c r="D278" s="37" t="s">
        <v>604</v>
      </c>
      <c r="E278" s="37" t="s">
        <v>632</v>
      </c>
      <c r="F278" s="37" t="s">
        <v>696</v>
      </c>
      <c r="G278" s="46" t="s">
        <v>708</v>
      </c>
      <c r="H278" s="37" t="s">
        <v>836</v>
      </c>
      <c r="I278" s="3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392</v>
      </c>
      <c r="B279" s="30" t="str">
        <f>VLOOKUP(A279,'HECVAT - Full'!A$24:B$312,2,FALSE)</f>
        <v>Does your application require a user to set their own password after an administrator reset or on first use of the account?</v>
      </c>
      <c r="C279" s="37" t="s">
        <v>576</v>
      </c>
      <c r="D279" s="37" t="s">
        <v>604</v>
      </c>
      <c r="E279" s="37" t="s">
        <v>632</v>
      </c>
      <c r="F279" s="37" t="s">
        <v>696</v>
      </c>
      <c r="G279" s="46" t="s">
        <v>761</v>
      </c>
      <c r="H279" s="37" t="s">
        <v>837</v>
      </c>
      <c r="I279" s="38"/>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393</v>
      </c>
      <c r="B280" s="30" t="str">
        <f>VLOOKUP(A280,'HECVAT - Full'!A$24:B$312,2,FALSE)</f>
        <v xml:space="preserve">Does your application lock-out an account after a number of failed login attempts? </v>
      </c>
      <c r="C280" s="37" t="s">
        <v>576</v>
      </c>
      <c r="D280" s="37" t="s">
        <v>611</v>
      </c>
      <c r="E280" s="37" t="s">
        <v>632</v>
      </c>
      <c r="F280" s="37" t="s">
        <v>696</v>
      </c>
      <c r="G280" s="46" t="s">
        <v>762</v>
      </c>
      <c r="H280" s="37" t="s">
        <v>883</v>
      </c>
      <c r="I280" s="38"/>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394</v>
      </c>
      <c r="B281" s="30" t="str">
        <f>VLOOKUP(A281,'HECVAT - Full'!A$24:B$312,2,FALSE)</f>
        <v>Does your application automatically lock or log-out an account after a period of inactivity?</v>
      </c>
      <c r="C281" s="37" t="s">
        <v>576</v>
      </c>
      <c r="D281" s="37" t="s">
        <v>612</v>
      </c>
      <c r="E281" s="37" t="s">
        <v>632</v>
      </c>
      <c r="F281" s="37" t="s">
        <v>696</v>
      </c>
      <c r="G281" s="46" t="s">
        <v>763</v>
      </c>
      <c r="H281" s="37" t="s">
        <v>884</v>
      </c>
      <c r="I281" s="37" t="s">
        <v>2113</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395</v>
      </c>
      <c r="B282" s="30" t="str">
        <f>VLOOKUP(A282,'HECVAT - Full'!A$24:B$312,2,FALSE)</f>
        <v>Are passwords visible in plain text, whether when stored or entered, including service level accounts (i.e. database accounts, etc.)?</v>
      </c>
      <c r="C282" s="37" t="s">
        <v>576</v>
      </c>
      <c r="D282" s="37" t="s">
        <v>695</v>
      </c>
      <c r="E282" s="37" t="s">
        <v>632</v>
      </c>
      <c r="F282" s="37" t="s">
        <v>696</v>
      </c>
      <c r="G282" s="46" t="s">
        <v>712</v>
      </c>
      <c r="H282" s="37" t="s">
        <v>837</v>
      </c>
      <c r="I282" s="37" t="s">
        <v>2113</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48" customHeight="1" x14ac:dyDescent="0.2">
      <c r="A283" s="15" t="s">
        <v>396</v>
      </c>
      <c r="B283" s="30" t="str">
        <f>VLOOKUP(A283,'HECVAT - Full'!A$24:B$312,2,FALSE)</f>
        <v>If the application is institution-hosted, can all service level and administrative account passwords be changed by the institution?</v>
      </c>
      <c r="C283" s="37" t="s">
        <v>576</v>
      </c>
      <c r="D283" s="37" t="s">
        <v>695</v>
      </c>
      <c r="E283" s="38"/>
      <c r="F283" s="37" t="s">
        <v>696</v>
      </c>
      <c r="G283" s="47"/>
      <c r="H283" s="38"/>
      <c r="I283" s="37" t="s">
        <v>2113</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25" customHeight="1" x14ac:dyDescent="0.2">
      <c r="A284" s="15" t="s">
        <v>397</v>
      </c>
      <c r="B284" s="30" t="str">
        <f>VLOOKUP(A284,'HECVAT - Full'!A$24:B$312,2,FALSE)</f>
        <v>Does your application provide the ability to define user access levels?</v>
      </c>
      <c r="C284" s="37" t="s">
        <v>576</v>
      </c>
      <c r="D284" s="37" t="s">
        <v>692</v>
      </c>
      <c r="E284" s="38"/>
      <c r="F284" s="37" t="s">
        <v>696</v>
      </c>
      <c r="G284" s="46" t="s">
        <v>701</v>
      </c>
      <c r="H284" s="38"/>
      <c r="I284" s="37" t="s">
        <v>2113</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25" customHeight="1" x14ac:dyDescent="0.2">
      <c r="A285" s="15" t="s">
        <v>398</v>
      </c>
      <c r="B285" s="30" t="str">
        <f>VLOOKUP(A285,'HECVAT - Full'!A$24:B$312,2,FALSE)</f>
        <v>Does your application support varying levels of access to administrative tasks defined individually per user?</v>
      </c>
      <c r="C285" s="37" t="s">
        <v>594</v>
      </c>
      <c r="D285" s="37" t="s">
        <v>690</v>
      </c>
      <c r="E285" s="37" t="s">
        <v>626</v>
      </c>
      <c r="F285" s="37" t="s">
        <v>696</v>
      </c>
      <c r="G285" s="46" t="s">
        <v>764</v>
      </c>
      <c r="H285" s="38"/>
      <c r="I285" s="37" t="s">
        <v>2113</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64.25" customHeight="1" x14ac:dyDescent="0.2">
      <c r="A286" s="15" t="s">
        <v>399</v>
      </c>
      <c r="B286" s="30" t="str">
        <f>VLOOKUP(A286,'HECVAT - Full'!A$24:B$312,2,FALSE)</f>
        <v>Does your application support varying levels of access to records based on user ID?</v>
      </c>
      <c r="C286" s="37" t="s">
        <v>576</v>
      </c>
      <c r="D286" s="37" t="s">
        <v>691</v>
      </c>
      <c r="E286" s="37" t="s">
        <v>686</v>
      </c>
      <c r="F286" s="37" t="s">
        <v>696</v>
      </c>
      <c r="G286" s="46" t="s">
        <v>701</v>
      </c>
      <c r="H286" s="38"/>
      <c r="I286" s="37" t="s">
        <v>2113</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 customHeight="1" x14ac:dyDescent="0.2">
      <c r="A287" s="15" t="s">
        <v>400</v>
      </c>
      <c r="B287" s="30" t="str">
        <f>VLOOKUP(A287,'HECVAT - Full'!A$24:B$312,2,FALSE)</f>
        <v>Is there a limit to the number of groups a user can be assigned?</v>
      </c>
      <c r="C287" s="37" t="s">
        <v>576</v>
      </c>
      <c r="D287" s="37" t="s">
        <v>694</v>
      </c>
      <c r="E287" s="37" t="s">
        <v>686</v>
      </c>
      <c r="F287" s="37" t="s">
        <v>696</v>
      </c>
      <c r="G287" s="47"/>
      <c r="H287" s="38"/>
      <c r="I287" s="38"/>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7" customHeight="1" x14ac:dyDescent="0.2">
      <c r="A288" s="15" t="s">
        <v>401</v>
      </c>
      <c r="B288" s="30" t="str">
        <f>VLOOKUP(A288,'HECVAT - Full'!A$24:B$312,2,FALSE)</f>
        <v>Do accounts used for vendor supplied remote support abide by the same authentication policies and access logging as the rest of the system?</v>
      </c>
      <c r="C288" s="37" t="s">
        <v>595</v>
      </c>
      <c r="D288" s="37" t="s">
        <v>694</v>
      </c>
      <c r="E288" s="38"/>
      <c r="F288" s="37" t="s">
        <v>696</v>
      </c>
      <c r="G288" s="46" t="s">
        <v>739</v>
      </c>
      <c r="H288" s="37" t="s">
        <v>885</v>
      </c>
      <c r="I288" s="37" t="s">
        <v>2113</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48" customHeight="1" x14ac:dyDescent="0.2">
      <c r="A289" s="15" t="s">
        <v>402</v>
      </c>
      <c r="B289" s="30" t="str">
        <f>VLOOKUP(A289,'HECVAT - Full'!A$24:B$312,2,FALSE)</f>
        <v xml:space="preserve">Does the application log record access including specific user, date/time of access, and originating IP or device? </v>
      </c>
      <c r="C289" s="37" t="s">
        <v>578</v>
      </c>
      <c r="D289" s="37" t="s">
        <v>605</v>
      </c>
      <c r="E289" s="37" t="s">
        <v>665</v>
      </c>
      <c r="F289" s="37" t="s">
        <v>696</v>
      </c>
      <c r="G289" s="46" t="s">
        <v>765</v>
      </c>
      <c r="H289" s="37" t="s">
        <v>886</v>
      </c>
      <c r="I289" s="37">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65" customHeight="1" x14ac:dyDescent="0.2">
      <c r="A290" s="15" t="s">
        <v>403</v>
      </c>
      <c r="B290" s="30" t="str">
        <f>VLOOKUP(A290,'HECVAT - Full'!A$24:B$312,2,FALSE)</f>
        <v>Does the application log administrative activity, such user account access changes and password changes, including specific user, date/time of changes, and originating IP or device?</v>
      </c>
      <c r="C290" s="37" t="s">
        <v>578</v>
      </c>
      <c r="D290" s="37" t="s">
        <v>606</v>
      </c>
      <c r="E290" s="37" t="s">
        <v>665</v>
      </c>
      <c r="F290" s="37" t="s">
        <v>696</v>
      </c>
      <c r="G290" s="47"/>
      <c r="H290" s="38"/>
      <c r="I290" s="37">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404</v>
      </c>
      <c r="B291" s="30" t="str">
        <f>VLOOKUP(A291,'HECVAT - Full'!A$24:B$312,2,FALSE)</f>
        <v>How long does the application keep access/change logs?</v>
      </c>
      <c r="C291" s="37" t="s">
        <v>578</v>
      </c>
      <c r="D291" s="37" t="s">
        <v>606</v>
      </c>
      <c r="E291" s="37" t="s">
        <v>665</v>
      </c>
      <c r="F291" s="37" t="s">
        <v>696</v>
      </c>
      <c r="G291" s="47"/>
      <c r="H291" s="38"/>
      <c r="I291" s="37">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405</v>
      </c>
      <c r="B292" s="30" t="str">
        <f>VLOOKUP(A292,'HECVAT - Full'!A$24:B$312,2,FALSE)</f>
        <v xml:space="preserve">Can the application logs be archived? </v>
      </c>
      <c r="C292" s="37" t="s">
        <v>578</v>
      </c>
      <c r="D292" s="37" t="s">
        <v>606</v>
      </c>
      <c r="E292" s="37" t="s">
        <v>665</v>
      </c>
      <c r="F292" s="37" t="s">
        <v>696</v>
      </c>
      <c r="G292" s="47"/>
      <c r="H292" s="38"/>
      <c r="I292" s="37">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36" customHeight="1" x14ac:dyDescent="0.2">
      <c r="A293" s="15" t="s">
        <v>406</v>
      </c>
      <c r="B293" s="30" t="str">
        <f>VLOOKUP(A293,'HECVAT - Full'!A$24:B$312,2,FALSE)</f>
        <v xml:space="preserve">Can the application logs be saved externally? </v>
      </c>
      <c r="C293" s="37" t="s">
        <v>578</v>
      </c>
      <c r="D293" s="37" t="s">
        <v>606</v>
      </c>
      <c r="E293" s="37" t="s">
        <v>665</v>
      </c>
      <c r="F293" s="37" t="s">
        <v>696</v>
      </c>
      <c r="G293" s="47"/>
      <c r="H293" s="38"/>
      <c r="I293" s="37">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8" customHeight="1" x14ac:dyDescent="0.2">
      <c r="A294" s="15" t="s">
        <v>407</v>
      </c>
      <c r="B294" s="30" t="str">
        <f>VLOOKUP(A294,'HECVAT - Full'!A$24:B$312,2,FALSE)</f>
        <v>Does your data backup and retention policies and practices meet HIPAA requirements?</v>
      </c>
      <c r="C294" s="37" t="s">
        <v>569</v>
      </c>
      <c r="D294" s="37" t="s">
        <v>607</v>
      </c>
      <c r="E294" s="37" t="s">
        <v>615</v>
      </c>
      <c r="F294" s="37" t="s">
        <v>696</v>
      </c>
      <c r="G294" s="47"/>
      <c r="H294" s="38"/>
      <c r="I294" s="37">
        <v>10.7</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47" customHeight="1" x14ac:dyDescent="0.2">
      <c r="A295" s="15" t="s">
        <v>408</v>
      </c>
      <c r="B295" s="30" t="str">
        <f>VLOOKUP(A295,'HECVAT - Full'!A$24:B$312,2,FALSE)</f>
        <v>Do you have a disaster recovery plan and emergency mode operation plan?</v>
      </c>
      <c r="C295" s="37" t="s">
        <v>569</v>
      </c>
      <c r="D295" s="37" t="s">
        <v>608</v>
      </c>
      <c r="E295" s="37" t="s">
        <v>639</v>
      </c>
      <c r="F295" s="37" t="s">
        <v>696</v>
      </c>
      <c r="G295" s="46" t="s">
        <v>718</v>
      </c>
      <c r="H295" s="38"/>
      <c r="I295" s="37">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409</v>
      </c>
      <c r="B296" s="30" t="str">
        <f>VLOOKUP(A296,'HECVAT - Full'!A$24:B$312,2,FALSE)</f>
        <v>Have the policies/plans mentioned above been tested?</v>
      </c>
      <c r="C296" s="37" t="s">
        <v>569</v>
      </c>
      <c r="D296" s="37" t="s">
        <v>608</v>
      </c>
      <c r="E296" s="37" t="s">
        <v>640</v>
      </c>
      <c r="F296" s="37" t="s">
        <v>696</v>
      </c>
      <c r="G296" s="46" t="s">
        <v>766</v>
      </c>
      <c r="H296" s="38"/>
      <c r="I296" s="37">
        <v>12.1</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36" customHeight="1" x14ac:dyDescent="0.2">
      <c r="A297" s="15" t="s">
        <v>410</v>
      </c>
      <c r="B297" s="30" t="str">
        <f>VLOOKUP(A297,'HECVAT - Full'!A$24:B$312,2,FALSE)</f>
        <v>Can you provide a HIPAA compliance attestation document?</v>
      </c>
      <c r="C297" s="37" t="s">
        <v>569</v>
      </c>
      <c r="D297" s="37" t="s">
        <v>609</v>
      </c>
      <c r="E297" s="37" t="s">
        <v>615</v>
      </c>
      <c r="F297" s="37" t="s">
        <v>696</v>
      </c>
      <c r="G297" s="47"/>
      <c r="H297" s="38"/>
      <c r="I297" s="37">
        <v>10.7</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53" customHeight="1" x14ac:dyDescent="0.2">
      <c r="A298" s="15" t="s">
        <v>411</v>
      </c>
      <c r="B298" s="30" t="str">
        <f>VLOOKUP(A298,'HECVAT - Full'!A$24:B$312,2,FALSE)</f>
        <v>Are you willing to enter into a Business Associate Agreement (BAA)?</v>
      </c>
      <c r="C298" s="37" t="s">
        <v>569</v>
      </c>
      <c r="D298" s="37" t="s">
        <v>613</v>
      </c>
      <c r="E298" s="37" t="s">
        <v>615</v>
      </c>
      <c r="F298" s="37" t="s">
        <v>696</v>
      </c>
      <c r="G298" s="47"/>
      <c r="H298" s="38"/>
      <c r="I298" s="3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63" customHeight="1" x14ac:dyDescent="0.2">
      <c r="A299" s="15" t="s">
        <v>412</v>
      </c>
      <c r="B299" s="30" t="str">
        <f>VLOOKUP(A299,'HECVAT - Full'!A$24:B$312,2,FALSE)</f>
        <v>Have you entered into a BAA with all subcontractors who may have access to protected health information (PHI)?</v>
      </c>
      <c r="C299" s="37" t="s">
        <v>569</v>
      </c>
      <c r="D299" s="37" t="s">
        <v>693</v>
      </c>
      <c r="E299" s="37" t="s">
        <v>615</v>
      </c>
      <c r="F299" s="37" t="s">
        <v>696</v>
      </c>
      <c r="G299" s="47"/>
      <c r="H299" s="38"/>
      <c r="I299" s="37">
        <v>12.8</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36" customHeight="1" x14ac:dyDescent="0.2">
      <c r="A300" s="304" t="str">
        <f>IF(OR($C$29="No",$C$30="Yes"),"PCI DSS - Optional based on QUALIFIER response.","PCI DSS")</f>
        <v>PCI DSS</v>
      </c>
      <c r="B300" s="304"/>
      <c r="C300" s="36" t="str">
        <f>$C$22</f>
        <v>CIS Critical Security Controls v6.1</v>
      </c>
      <c r="D300" s="36" t="str">
        <f>$D$22</f>
        <v>HIPAA</v>
      </c>
      <c r="E300" s="36" t="str">
        <f>$E$22</f>
        <v>ISO 27002:2013</v>
      </c>
      <c r="F300" s="36" t="str">
        <f>$F$22</f>
        <v>NIST Cybersecurity Framework</v>
      </c>
      <c r="G300" s="25" t="str">
        <f>$G$22</f>
        <v>NIST SP 800-171r1</v>
      </c>
      <c r="H300" s="36" t="str">
        <f>$H$22</f>
        <v>NIST SP 800-53r4</v>
      </c>
      <c r="I300" s="167" t="s">
        <v>2044</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413</v>
      </c>
      <c r="B301" s="30" t="str">
        <f>VLOOKUP(A301,'HECVAT - Full'!A$24:B$312,2,FALSE)</f>
        <v>Do your systems or products store, process, or transmit cardholder (payment/credit/debt card) data?</v>
      </c>
      <c r="C301" s="37" t="s">
        <v>569</v>
      </c>
      <c r="D301" s="41"/>
      <c r="E301" s="37" t="s">
        <v>615</v>
      </c>
      <c r="F301" s="37" t="s">
        <v>696</v>
      </c>
      <c r="G301" s="47"/>
      <c r="H301" s="41"/>
      <c r="I301" s="37">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414</v>
      </c>
      <c r="B302" s="30" t="str">
        <f>VLOOKUP(A302,'HECVAT - Full'!A$24:B$312,2,FALSE)</f>
        <v>Are you compliant with the Payment Card Industry Data Security Standard (PCI DSS)?</v>
      </c>
      <c r="C302" s="37" t="s">
        <v>569</v>
      </c>
      <c r="D302" s="41"/>
      <c r="E302" s="37" t="s">
        <v>615</v>
      </c>
      <c r="F302" s="37" t="s">
        <v>696</v>
      </c>
      <c r="G302" s="47"/>
      <c r="H302" s="41"/>
      <c r="I302" s="37">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48" customHeight="1" x14ac:dyDescent="0.2">
      <c r="A303" s="15" t="s">
        <v>415</v>
      </c>
      <c r="B303" s="30" t="str">
        <f>VLOOKUP(A303,'HECVAT - Full'!A$24:B$312,2,FALSE)</f>
        <v>Do you have a current, executed within the past year, Attestation of Compliance (AoC) or Report on Compliance (RoC)?</v>
      </c>
      <c r="C303" s="37" t="s">
        <v>569</v>
      </c>
      <c r="D303" s="41"/>
      <c r="E303" s="37" t="s">
        <v>615</v>
      </c>
      <c r="F303" s="37" t="s">
        <v>696</v>
      </c>
      <c r="G303" s="47"/>
      <c r="H303" s="41"/>
      <c r="I303" s="37">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416</v>
      </c>
      <c r="B304" s="30" t="str">
        <f>VLOOKUP(A304,'HECVAT - Full'!A$24:B$312,2,FALSE)</f>
        <v>Are you classified as a service provider?</v>
      </c>
      <c r="C304" s="38"/>
      <c r="D304" s="41"/>
      <c r="E304" s="41"/>
      <c r="F304" s="37" t="s">
        <v>696</v>
      </c>
      <c r="G304" s="47"/>
      <c r="H304" s="41"/>
      <c r="I304" s="37">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417</v>
      </c>
      <c r="B305" s="30" t="str">
        <f>VLOOKUP(A305,'HECVAT - Full'!A$24:B$312,2,FALSE)</f>
        <v xml:space="preserve">Are you on the list of VISA approved service providers? </v>
      </c>
      <c r="C305" s="38"/>
      <c r="D305" s="41"/>
      <c r="E305" s="41"/>
      <c r="F305" s="37" t="s">
        <v>696</v>
      </c>
      <c r="G305" s="47"/>
      <c r="H305" s="41"/>
      <c r="I305" s="37">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36" customHeight="1" x14ac:dyDescent="0.2">
      <c r="A306" s="15" t="s">
        <v>418</v>
      </c>
      <c r="B306" s="30" t="str">
        <f>VLOOKUP(A306,'HECVAT - Full'!A$24:B$312,2,FALSE)</f>
        <v>Are you classified as a merchant?  If so, what level (1, 2, 3, 4)?</v>
      </c>
      <c r="C306" s="38"/>
      <c r="D306" s="41"/>
      <c r="E306" s="41"/>
      <c r="F306" s="37" t="s">
        <v>696</v>
      </c>
      <c r="G306" s="47"/>
      <c r="H306" s="41"/>
      <c r="I306" s="37">
        <v>12.8</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25" customHeight="1" x14ac:dyDescent="0.2">
      <c r="A307" s="15" t="s">
        <v>419</v>
      </c>
      <c r="B307" s="30" t="str">
        <f>VLOOKUP(A307,'HECVAT - Full'!A$24:B$312,2,FALSE)</f>
        <v>Describe the architecture employed by the system to verify and authorize credit card transactions.</v>
      </c>
      <c r="C307" s="37" t="s">
        <v>596</v>
      </c>
      <c r="D307" s="41"/>
      <c r="E307" s="41"/>
      <c r="F307" s="37" t="s">
        <v>696</v>
      </c>
      <c r="G307" s="48"/>
      <c r="H307" s="41"/>
      <c r="I307" s="37" t="s">
        <v>2105</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64.25" customHeight="1" x14ac:dyDescent="0.2">
      <c r="A308" s="15" t="s">
        <v>420</v>
      </c>
      <c r="B308" s="30" t="str">
        <f>VLOOKUP(A308,'HECVAT - Full'!A$24:B$312,2,FALSE)</f>
        <v xml:space="preserve">What payment processors/gateways does the system support? </v>
      </c>
      <c r="C308" s="37" t="s">
        <v>568</v>
      </c>
      <c r="D308" s="41"/>
      <c r="E308" s="41"/>
      <c r="F308" s="37" t="s">
        <v>696</v>
      </c>
      <c r="G308" s="48"/>
      <c r="H308" s="41"/>
      <c r="I308" s="37">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421</v>
      </c>
      <c r="B309" s="30" t="str">
        <f>VLOOKUP(A309,'HECVAT - Full'!A$24:B$312,2,FALSE)</f>
        <v>Can the application be installed in a PCI DSS compliant manner ?</v>
      </c>
      <c r="C309" s="37" t="s">
        <v>569</v>
      </c>
      <c r="D309" s="41"/>
      <c r="E309" s="41"/>
      <c r="F309" s="37" t="s">
        <v>696</v>
      </c>
      <c r="G309" s="47"/>
      <c r="H309" s="41"/>
      <c r="I309" s="37">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36" customHeight="1" x14ac:dyDescent="0.2">
      <c r="A310" s="15" t="s">
        <v>422</v>
      </c>
      <c r="B310" s="30" t="str">
        <f>VLOOKUP(A310,'HECVAT - Full'!A$24:B$312,2,FALSE)</f>
        <v xml:space="preserve">Is the application listed as an approved PA-DSS application? </v>
      </c>
      <c r="C310" s="38"/>
      <c r="D310" s="41"/>
      <c r="E310" s="41"/>
      <c r="F310" s="37" t="s">
        <v>696</v>
      </c>
      <c r="G310" s="47"/>
      <c r="H310" s="41"/>
      <c r="I310" s="37">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54" customHeight="1" x14ac:dyDescent="0.2">
      <c r="A311" s="15" t="s">
        <v>423</v>
      </c>
      <c r="B311" s="30" t="str">
        <f>VLOOKUP(A311,'HECVAT - Full'!A$24:B$312,2,FALSE)</f>
        <v>Does the system or products use a third party to collect, store, process, or transmit cardholder (payment/credit/debt card) data?</v>
      </c>
      <c r="C311" s="37" t="s">
        <v>597</v>
      </c>
      <c r="D311" s="41"/>
      <c r="E311" s="41"/>
      <c r="F311" s="37" t="s">
        <v>696</v>
      </c>
      <c r="G311" s="47"/>
      <c r="H311" s="41"/>
      <c r="I311" s="37">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2" spans="1:259" ht="64.25" customHeight="1" x14ac:dyDescent="0.2">
      <c r="A312" s="15" t="s">
        <v>424</v>
      </c>
      <c r="B312" s="30"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7" t="s">
        <v>569</v>
      </c>
      <c r="D312" s="41"/>
      <c r="E312" s="41"/>
      <c r="F312" s="37" t="s">
        <v>696</v>
      </c>
      <c r="G312" s="48"/>
      <c r="H312" s="41"/>
      <c r="I312" s="37">
        <v>12.8</v>
      </c>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row>
    <row r="315" spans="1:259" ht="15" customHeight="1" x14ac:dyDescent="0.15">
      <c r="A315" s="183" t="s">
        <v>560</v>
      </c>
      <c r="B315" s="184">
        <v>4</v>
      </c>
    </row>
    <row r="316" spans="1:259" ht="15" customHeight="1" x14ac:dyDescent="0.15">
      <c r="A316" s="183" t="s">
        <v>561</v>
      </c>
      <c r="B316" s="184">
        <v>5</v>
      </c>
    </row>
    <row r="317" spans="1:259" ht="15" customHeight="1" x14ac:dyDescent="0.15">
      <c r="A317" s="183" t="s">
        <v>887</v>
      </c>
      <c r="B317" s="184">
        <v>6</v>
      </c>
    </row>
    <row r="318" spans="1:259" ht="15" customHeight="1" x14ac:dyDescent="0.15">
      <c r="A318" s="183" t="s">
        <v>564</v>
      </c>
      <c r="B318" s="184">
        <v>7</v>
      </c>
    </row>
    <row r="319" spans="1:259" ht="15" customHeight="1" x14ac:dyDescent="0.15">
      <c r="A319" s="183" t="s">
        <v>563</v>
      </c>
      <c r="B319" s="184">
        <v>8</v>
      </c>
    </row>
    <row r="320" spans="1:259" ht="15" customHeight="1" x14ac:dyDescent="0.15">
      <c r="A320" s="183" t="s">
        <v>562</v>
      </c>
      <c r="B320" s="184">
        <v>9</v>
      </c>
    </row>
    <row r="321" spans="1:2" ht="15" customHeight="1" x14ac:dyDescent="0.15">
      <c r="A321" s="185" t="s">
        <v>2044</v>
      </c>
      <c r="B321" s="184">
        <v>10</v>
      </c>
    </row>
  </sheetData>
  <mergeCells count="25">
    <mergeCell ref="A2:H2"/>
    <mergeCell ref="A1:I1"/>
    <mergeCell ref="A31:B31"/>
    <mergeCell ref="A38:B38"/>
    <mergeCell ref="A22:B22"/>
    <mergeCell ref="A97:B97"/>
    <mergeCell ref="A79:B79"/>
    <mergeCell ref="A61:B61"/>
    <mergeCell ref="A51:B51"/>
    <mergeCell ref="A46:B46"/>
    <mergeCell ref="A268:B268"/>
    <mergeCell ref="A300:B300"/>
    <mergeCell ref="A247:B247"/>
    <mergeCell ref="A253:B253"/>
    <mergeCell ref="A258:B258"/>
    <mergeCell ref="A155:B155"/>
    <mergeCell ref="A158:B158"/>
    <mergeCell ref="A126:B126"/>
    <mergeCell ref="A110:B110"/>
    <mergeCell ref="A244:B244"/>
    <mergeCell ref="A217:B217"/>
    <mergeCell ref="A223:B223"/>
    <mergeCell ref="A205:B205"/>
    <mergeCell ref="A178:B178"/>
    <mergeCell ref="A192:B192"/>
  </mergeCells>
  <conditionalFormatting sqref="A205">
    <cfRule type="expression" dxfId="2607" priority="290">
      <formula>$C$25="No"</formula>
    </cfRule>
  </conditionalFormatting>
  <conditionalFormatting sqref="A268">
    <cfRule type="expression" dxfId="2606" priority="289">
      <formula>$C$24="No"</formula>
    </cfRule>
  </conditionalFormatting>
  <conditionalFormatting sqref="A46">
    <cfRule type="expression" dxfId="2605" priority="288">
      <formula>$C$26="No"</formula>
    </cfRule>
  </conditionalFormatting>
  <conditionalFormatting sqref="A178">
    <cfRule type="expression" dxfId="2604" priority="287">
      <formula>$C$28="No"</formula>
    </cfRule>
  </conditionalFormatting>
  <conditionalFormatting sqref="A163:A164 H163:H164 C163:E164">
    <cfRule type="expression" dxfId="2603" priority="237">
      <formula>$C$162="No"</formula>
    </cfRule>
  </conditionalFormatting>
  <conditionalFormatting sqref="A168 H168 C168:E168">
    <cfRule type="expression" dxfId="2602" priority="284">
      <formula>$C$167="No"</formula>
    </cfRule>
  </conditionalFormatting>
  <conditionalFormatting sqref="A164 H164 C164:E164">
    <cfRule type="expression" dxfId="2601" priority="236">
      <formula>$C$163="No"</formula>
    </cfRule>
  </conditionalFormatting>
  <conditionalFormatting sqref="D63:E63 H63">
    <cfRule type="expression" dxfId="2600" priority="283">
      <formula>$C$62="No"</formula>
    </cfRule>
  </conditionalFormatting>
  <conditionalFormatting sqref="C90:E90 H90">
    <cfRule type="expression" dxfId="2599" priority="247">
      <formula>$C$89="No"</formula>
    </cfRule>
  </conditionalFormatting>
  <conditionalFormatting sqref="C92:E93 H92:H93">
    <cfRule type="expression" dxfId="2598" priority="279">
      <formula>$C$91="No"</formula>
    </cfRule>
  </conditionalFormatting>
  <conditionalFormatting sqref="A260 H260 C260:E260">
    <cfRule type="expression" dxfId="2597" priority="218">
      <formula>$C$259="No"</formula>
    </cfRule>
  </conditionalFormatting>
  <conditionalFormatting sqref="A263 H263 C263:E263">
    <cfRule type="expression" dxfId="2596" priority="219">
      <formula>$C$262="No"</formula>
    </cfRule>
  </conditionalFormatting>
  <conditionalFormatting sqref="C213:E213 H213">
    <cfRule type="expression" dxfId="2595" priority="230">
      <formula>$C$212="No"</formula>
    </cfRule>
  </conditionalFormatting>
  <conditionalFormatting sqref="C216:E216 H216">
    <cfRule type="expression" dxfId="2594" priority="231">
      <formula>$C$215="No"</formula>
    </cfRule>
  </conditionalFormatting>
  <conditionalFormatting sqref="A300">
    <cfRule type="expression" dxfId="2593" priority="274">
      <formula>$C$29="No"</formula>
    </cfRule>
  </conditionalFormatting>
  <conditionalFormatting sqref="A293 H293 C293:E293">
    <cfRule type="expression" dxfId="2592" priority="258">
      <formula>$C$292="No"</formula>
    </cfRule>
  </conditionalFormatting>
  <conditionalFormatting sqref="A241 H241 C241:E241">
    <cfRule type="expression" dxfId="2591" priority="227">
      <formula>$C$240="No"</formula>
    </cfRule>
  </conditionalFormatting>
  <conditionalFormatting sqref="C58:H58">
    <cfRule type="expression" dxfId="2590" priority="270">
      <formula>$C$57="No"</formula>
    </cfRule>
  </conditionalFormatting>
  <conditionalFormatting sqref="C60 E60:H60">
    <cfRule type="expression" dxfId="2589" priority="269">
      <formula>$C$59="No"</formula>
    </cfRule>
  </conditionalFormatting>
  <conditionalFormatting sqref="A51">
    <cfRule type="expression" dxfId="2588" priority="268">
      <formula>$C$30="No"</formula>
    </cfRule>
  </conditionalFormatting>
  <conditionalFormatting sqref="C150:D150 C151:C154">
    <cfRule type="expression" dxfId="2587" priority="266">
      <formula>$C$149="No"</formula>
    </cfRule>
  </conditionalFormatting>
  <conditionalFormatting sqref="C138:E138 H138">
    <cfRule type="expression" dxfId="2586" priority="241">
      <formula>$C$137="No"</formula>
    </cfRule>
  </conditionalFormatting>
  <conditionalFormatting sqref="A112 H112 C112:E112">
    <cfRule type="expression" dxfId="2585" priority="242">
      <formula>$C$111="No"</formula>
    </cfRule>
  </conditionalFormatting>
  <conditionalFormatting sqref="A174 H174 C174:E174">
    <cfRule type="expression" dxfId="2584" priority="263">
      <formula>$C$173="No"</formula>
    </cfRule>
  </conditionalFormatting>
  <conditionalFormatting sqref="A203 H203 C203:E203">
    <cfRule type="expression" dxfId="2583" priority="232">
      <formula>$C$202="No"</formula>
    </cfRule>
  </conditionalFormatting>
  <conditionalFormatting sqref="I185:I186 I189 C184:H184">
    <cfRule type="expression" dxfId="2582" priority="234">
      <formula>$C$183="No"</formula>
    </cfRule>
  </conditionalFormatting>
  <conditionalFormatting sqref="A97">
    <cfRule type="expression" dxfId="2581" priority="260">
      <formula>$C$27="No"</formula>
    </cfRule>
  </conditionalFormatting>
  <conditionalFormatting sqref="A276:A277 H276:H277 C276:E277">
    <cfRule type="expression" dxfId="2580" priority="216">
      <formula>$C$275="No"</formula>
    </cfRule>
  </conditionalFormatting>
  <conditionalFormatting sqref="A277 H277 C277:E277">
    <cfRule type="expression" dxfId="2579" priority="217">
      <formula>$C$276="No"</formula>
    </cfRule>
  </conditionalFormatting>
  <conditionalFormatting sqref="E52:E60 H52:I60">
    <cfRule type="expression" dxfId="2578" priority="257">
      <formula>$C$30="No"</formula>
    </cfRule>
  </conditionalFormatting>
  <conditionalFormatting sqref="E47:E50">
    <cfRule type="expression" dxfId="2577" priority="256">
      <formula>$C$26="No"</formula>
    </cfRule>
  </conditionalFormatting>
  <conditionalFormatting sqref="C257:D257">
    <cfRule type="expression" dxfId="2576" priority="255">
      <formula>$C$167="No"</formula>
    </cfRule>
  </conditionalFormatting>
  <conditionalFormatting sqref="C243:D243">
    <cfRule type="expression" dxfId="2575" priority="254">
      <formula>$C$238="No"</formula>
    </cfRule>
  </conditionalFormatting>
  <conditionalFormatting sqref="A61:B61 A79:B79 A97:B97 A110:B110 A126:B126 A158:B158 A178:B178 A192:B192 A205:B205 A223:B223 A244:B244 A247:B247 A253:B253 A268:B268 A300:B300">
    <cfRule type="expression" dxfId="2574" priority="252">
      <formula>$C$30="Yes"</formula>
    </cfRule>
  </conditionalFormatting>
  <conditionalFormatting sqref="A155:B155">
    <cfRule type="expression" dxfId="2573" priority="251">
      <formula>$C$30="Yes"</formula>
    </cfRule>
  </conditionalFormatting>
  <conditionalFormatting sqref="A217:B217">
    <cfRule type="expression" dxfId="2572" priority="250">
      <formula>$C$30="Yes"</formula>
    </cfRule>
  </conditionalFormatting>
  <conditionalFormatting sqref="A258:B258">
    <cfRule type="expression" dxfId="257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2570" priority="280">
      <formula>$C$30="Yes"</formula>
    </cfRule>
  </conditionalFormatting>
  <conditionalFormatting sqref="E111:E125">
    <cfRule type="expression" dxfId="2569" priority="243">
      <formula>$C$30="Yes"</formula>
    </cfRule>
  </conditionalFormatting>
  <conditionalFormatting sqref="E156:E157">
    <cfRule type="expression" dxfId="2568" priority="238">
      <formula>$C$30="Yes"</formula>
    </cfRule>
  </conditionalFormatting>
  <conditionalFormatting sqref="E159:E177">
    <cfRule type="expression" dxfId="2567" priority="285">
      <formula>$C$30="Yes"</formula>
    </cfRule>
  </conditionalFormatting>
  <conditionalFormatting sqref="E193:E204">
    <cfRule type="expression" dxfId="2566" priority="233">
      <formula>$C$30="Yes"</formula>
    </cfRule>
  </conditionalFormatting>
  <conditionalFormatting sqref="E206:E216">
    <cfRule type="expression" dxfId="2565" priority="275">
      <formula>$C$30="Yes"</formula>
    </cfRule>
  </conditionalFormatting>
  <conditionalFormatting sqref="E218:E222">
    <cfRule type="expression" dxfId="2564" priority="228">
      <formula>$C$30="Yes"</formula>
    </cfRule>
  </conditionalFormatting>
  <conditionalFormatting sqref="E245:E246">
    <cfRule type="expression" dxfId="2563" priority="224">
      <formula>$C$30="Yes"</formula>
    </cfRule>
  </conditionalFormatting>
  <conditionalFormatting sqref="E248:E252">
    <cfRule type="expression" dxfId="2562" priority="222">
      <formula>$C$30="Yes"</formula>
    </cfRule>
  </conditionalFormatting>
  <conditionalFormatting sqref="E254:E257">
    <cfRule type="expression" dxfId="2561" priority="220">
      <formula>$C$30="Yes"</formula>
    </cfRule>
  </conditionalFormatting>
  <conditionalFormatting sqref="E259:E267">
    <cfRule type="expression" dxfId="2560" priority="277">
      <formula>$C$30="Yes"</formula>
    </cfRule>
  </conditionalFormatting>
  <conditionalFormatting sqref="E301:E312">
    <cfRule type="expression" dxfId="2559" priority="214">
      <formula>$C$30="Yes"</formula>
    </cfRule>
  </conditionalFormatting>
  <conditionalFormatting sqref="A296:A299 H296 C296:E296">
    <cfRule type="expression" dxfId="2558" priority="213">
      <formula>$C$295="No"</formula>
    </cfRule>
  </conditionalFormatting>
  <conditionalFormatting sqref="F163:F164">
    <cfRule type="expression" dxfId="2557" priority="170">
      <formula>$C$162="No"</formula>
    </cfRule>
  </conditionalFormatting>
  <conditionalFormatting sqref="F168">
    <cfRule type="expression" dxfId="2556" priority="206">
      <formula>$C$167="No"</formula>
    </cfRule>
  </conditionalFormatting>
  <conditionalFormatting sqref="F164">
    <cfRule type="expression" dxfId="2555" priority="169">
      <formula>$C$163="No"</formula>
    </cfRule>
  </conditionalFormatting>
  <conditionalFormatting sqref="F90">
    <cfRule type="expression" dxfId="2554" priority="178">
      <formula>$C$89="No"</formula>
    </cfRule>
  </conditionalFormatting>
  <conditionalFormatting sqref="F92:F93">
    <cfRule type="expression" dxfId="2553" priority="202">
      <formula>$C$91="No"</formula>
    </cfRule>
  </conditionalFormatting>
  <conditionalFormatting sqref="F260">
    <cfRule type="expression" dxfId="2552" priority="155">
      <formula>$C$259="No"</formula>
    </cfRule>
  </conditionalFormatting>
  <conditionalFormatting sqref="F263">
    <cfRule type="expression" dxfId="2551" priority="156">
      <formula>$C$262="No"</formula>
    </cfRule>
  </conditionalFormatting>
  <conditionalFormatting sqref="F213">
    <cfRule type="expression" dxfId="2550" priority="163">
      <formula>$C$212="No"</formula>
    </cfRule>
  </conditionalFormatting>
  <conditionalFormatting sqref="F216">
    <cfRule type="expression" dxfId="2549" priority="164">
      <formula>$C$215="No"</formula>
    </cfRule>
  </conditionalFormatting>
  <conditionalFormatting sqref="F293">
    <cfRule type="expression" dxfId="2548" priority="188">
      <formula>$C$292="No"</formula>
    </cfRule>
  </conditionalFormatting>
  <conditionalFormatting sqref="F241">
    <cfRule type="expression" dxfId="2547" priority="161">
      <formula>$C$240="No"</formula>
    </cfRule>
  </conditionalFormatting>
  <conditionalFormatting sqref="F150:F154">
    <cfRule type="expression" dxfId="2546" priority="193">
      <formula>$C$149="No"</formula>
    </cfRule>
  </conditionalFormatting>
  <conditionalFormatting sqref="F138">
    <cfRule type="expression" dxfId="2545" priority="173">
      <formula>$C$137="No"</formula>
    </cfRule>
  </conditionalFormatting>
  <conditionalFormatting sqref="F112">
    <cfRule type="expression" dxfId="2544" priority="174">
      <formula>$C$111="No"</formula>
    </cfRule>
  </conditionalFormatting>
  <conditionalFormatting sqref="F174">
    <cfRule type="expression" dxfId="2543" priority="191">
      <formula>$C$173="No"</formula>
    </cfRule>
  </conditionalFormatting>
  <conditionalFormatting sqref="F203">
    <cfRule type="expression" dxfId="2542" priority="165">
      <formula>$C$202="No"</formula>
    </cfRule>
  </conditionalFormatting>
  <conditionalFormatting sqref="F276:F277">
    <cfRule type="expression" dxfId="2541" priority="153">
      <formula>$C$275="No"</formula>
    </cfRule>
  </conditionalFormatting>
  <conditionalFormatting sqref="F277">
    <cfRule type="expression" dxfId="2540" priority="154">
      <formula>$C$276="No"</formula>
    </cfRule>
  </conditionalFormatting>
  <conditionalFormatting sqref="H47:H50">
    <cfRule type="expression" dxfId="2539" priority="186">
      <formula>$C$26="No"</formula>
    </cfRule>
  </conditionalFormatting>
  <conditionalFormatting sqref="F257">
    <cfRule type="expression" dxfId="2538" priority="185">
      <formula>$C$167="No"</formula>
    </cfRule>
  </conditionalFormatting>
  <conditionalFormatting sqref="F243">
    <cfRule type="expression" dxfId="2537" priority="184">
      <formula>$C$238="No"</formula>
    </cfRule>
  </conditionalFormatting>
  <conditionalFormatting sqref="H62:H63">
    <cfRule type="expression" dxfId="2536" priority="203">
      <formula>$C$30="Yes"</formula>
    </cfRule>
  </conditionalFormatting>
  <conditionalFormatting sqref="H111:H125">
    <cfRule type="expression" dxfId="2535" priority="175">
      <formula>$C$30="Yes"</formula>
    </cfRule>
  </conditionalFormatting>
  <conditionalFormatting sqref="H156:H157">
    <cfRule type="expression" dxfId="2534" priority="171">
      <formula>$C$30="Yes"</formula>
    </cfRule>
  </conditionalFormatting>
  <conditionalFormatting sqref="H159:H177">
    <cfRule type="expression" dxfId="2533" priority="207">
      <formula>$C$30="Yes"</formula>
    </cfRule>
  </conditionalFormatting>
  <conditionalFormatting sqref="H193:H204">
    <cfRule type="expression" dxfId="2532" priority="166">
      <formula>$C$30="Yes"</formula>
    </cfRule>
  </conditionalFormatting>
  <conditionalFormatting sqref="H206:H216">
    <cfRule type="expression" dxfId="2531" priority="200">
      <formula>$C$30="Yes"</formula>
    </cfRule>
  </conditionalFormatting>
  <conditionalFormatting sqref="H218:H222">
    <cfRule type="expression" dxfId="2530" priority="162">
      <formula>$C$30="Yes"</formula>
    </cfRule>
  </conditionalFormatting>
  <conditionalFormatting sqref="H245:H246">
    <cfRule type="expression" dxfId="2529" priority="159">
      <formula>$C$30="Yes"</formula>
    </cfRule>
  </conditionalFormatting>
  <conditionalFormatting sqref="H248:H252">
    <cfRule type="expression" dxfId="2528" priority="158">
      <formula>$C$30="Yes"</formula>
    </cfRule>
  </conditionalFormatting>
  <conditionalFormatting sqref="H254:H257">
    <cfRule type="expression" dxfId="2527" priority="157">
      <formula>$C$30="Yes"</formula>
    </cfRule>
  </conditionalFormatting>
  <conditionalFormatting sqref="H259:H267">
    <cfRule type="expression" dxfId="2526" priority="201">
      <formula>$C$30="Yes"</formula>
    </cfRule>
  </conditionalFormatting>
  <conditionalFormatting sqref="H301:H312">
    <cfRule type="expression" dxfId="2525" priority="152">
      <formula>$C$30="Yes"</formula>
    </cfRule>
  </conditionalFormatting>
  <conditionalFormatting sqref="F296">
    <cfRule type="expression" dxfId="2524" priority="151">
      <formula>$C$295="No"</formula>
    </cfRule>
  </conditionalFormatting>
  <conditionalFormatting sqref="G163:G164">
    <cfRule type="expression" dxfId="2523" priority="134">
      <formula>$C$162="No"</formula>
    </cfRule>
  </conditionalFormatting>
  <conditionalFormatting sqref="G168">
    <cfRule type="expression" dxfId="2522" priority="150">
      <formula>$C$167="No"</formula>
    </cfRule>
  </conditionalFormatting>
  <conditionalFormatting sqref="G164">
    <cfRule type="expression" dxfId="2521" priority="133">
      <formula>$C$163="No"</formula>
    </cfRule>
  </conditionalFormatting>
  <conditionalFormatting sqref="G90">
    <cfRule type="expression" dxfId="2520" priority="139">
      <formula>$C$89="No"</formula>
    </cfRule>
  </conditionalFormatting>
  <conditionalFormatting sqref="G92:G93">
    <cfRule type="expression" dxfId="2519" priority="149">
      <formula>$C$91="No"</formula>
    </cfRule>
  </conditionalFormatting>
  <conditionalFormatting sqref="G260">
    <cfRule type="expression" dxfId="2518" priority="125">
      <formula>$C$259="No"</formula>
    </cfRule>
  </conditionalFormatting>
  <conditionalFormatting sqref="G263">
    <cfRule type="expression" dxfId="2517" priority="126">
      <formula>$C$262="No"</formula>
    </cfRule>
  </conditionalFormatting>
  <conditionalFormatting sqref="G213">
    <cfRule type="expression" dxfId="2516" priority="129">
      <formula>$C$212="No"</formula>
    </cfRule>
  </conditionalFormatting>
  <conditionalFormatting sqref="G216">
    <cfRule type="expression" dxfId="2515" priority="130">
      <formula>$C$215="No"</formula>
    </cfRule>
  </conditionalFormatting>
  <conditionalFormatting sqref="G293">
    <cfRule type="expression" dxfId="2514" priority="143">
      <formula>$C$292="No"</formula>
    </cfRule>
  </conditionalFormatting>
  <conditionalFormatting sqref="G241">
    <cfRule type="expression" dxfId="2513" priority="128">
      <formula>$C$240="No"</formula>
    </cfRule>
  </conditionalFormatting>
  <conditionalFormatting sqref="G150:G154">
    <cfRule type="expression" dxfId="2512" priority="146">
      <formula>$C$149="No"</formula>
    </cfRule>
  </conditionalFormatting>
  <conditionalFormatting sqref="G138">
    <cfRule type="expression" dxfId="2511" priority="136">
      <formula>$C$137="No"</formula>
    </cfRule>
  </conditionalFormatting>
  <conditionalFormatting sqref="G112">
    <cfRule type="expression" dxfId="2510" priority="137">
      <formula>$C$111="No"</formula>
    </cfRule>
  </conditionalFormatting>
  <conditionalFormatting sqref="G174">
    <cfRule type="expression" dxfId="2509" priority="144">
      <formula>$C$173="No"</formula>
    </cfRule>
  </conditionalFormatting>
  <conditionalFormatting sqref="G203">
    <cfRule type="expression" dxfId="2508" priority="131">
      <formula>$C$202="No"</formula>
    </cfRule>
  </conditionalFormatting>
  <conditionalFormatting sqref="G276:G277">
    <cfRule type="expression" dxfId="2507" priority="123">
      <formula>$C$275="No"</formula>
    </cfRule>
  </conditionalFormatting>
  <conditionalFormatting sqref="G277">
    <cfRule type="expression" dxfId="2506" priority="124">
      <formula>$C$276="No"</formula>
    </cfRule>
  </conditionalFormatting>
  <conditionalFormatting sqref="G257">
    <cfRule type="expression" dxfId="2505" priority="142">
      <formula>$C$167="No"</formula>
    </cfRule>
  </conditionalFormatting>
  <conditionalFormatting sqref="G243">
    <cfRule type="expression" dxfId="2504" priority="141">
      <formula>$C$238="No"</formula>
    </cfRule>
  </conditionalFormatting>
  <conditionalFormatting sqref="G296">
    <cfRule type="expression" dxfId="2503" priority="122">
      <formula>$C$295="No"</formula>
    </cfRule>
  </conditionalFormatting>
  <conditionalFormatting sqref="I47:I50">
    <cfRule type="expression" dxfId="2502" priority="121">
      <formula>$C$26="No"</formula>
    </cfRule>
  </conditionalFormatting>
  <conditionalFormatting sqref="I62:I63">
    <cfRule type="expression" dxfId="2501" priority="119">
      <formula>$C$62="No"</formula>
    </cfRule>
  </conditionalFormatting>
  <conditionalFormatting sqref="I62:I63">
    <cfRule type="expression" dxfId="2500" priority="118">
      <formula>$C$30="Yes"</formula>
    </cfRule>
  </conditionalFormatting>
  <conditionalFormatting sqref="I89">
    <cfRule type="expression" dxfId="2499" priority="116">
      <formula>$C$30="Yes"</formula>
    </cfRule>
  </conditionalFormatting>
  <conditionalFormatting sqref="I91:I92">
    <cfRule type="expression" dxfId="2498" priority="115">
      <formula>$C$30="Yes"</formula>
    </cfRule>
  </conditionalFormatting>
  <conditionalFormatting sqref="I105:I109">
    <cfRule type="expression" dxfId="2497" priority="114">
      <formula>$C$30="Yes"</formula>
    </cfRule>
  </conditionalFormatting>
  <conditionalFormatting sqref="I111:I115">
    <cfRule type="expression" dxfId="2496" priority="113">
      <formula>$C$30="Yes"</formula>
    </cfRule>
  </conditionalFormatting>
  <conditionalFormatting sqref="I150:I151">
    <cfRule type="expression" dxfId="2495" priority="110">
      <formula>$C$30="Yes"</formula>
    </cfRule>
  </conditionalFormatting>
  <conditionalFormatting sqref="I153:I154">
    <cfRule type="expression" dxfId="2494" priority="109">
      <formula>$C$30="Yes"</formula>
    </cfRule>
  </conditionalFormatting>
  <conditionalFormatting sqref="I156:I157">
    <cfRule type="expression" dxfId="2493" priority="108">
      <formula>$C$30="Yes"</formula>
    </cfRule>
  </conditionalFormatting>
  <conditionalFormatting sqref="I159">
    <cfRule type="expression" dxfId="2492" priority="107">
      <formula>$C$30="Yes"</formula>
    </cfRule>
  </conditionalFormatting>
  <conditionalFormatting sqref="I160:I161">
    <cfRule type="expression" dxfId="2491" priority="106">
      <formula>$C$30="Yes"</formula>
    </cfRule>
  </conditionalFormatting>
  <conditionalFormatting sqref="I165">
    <cfRule type="expression" dxfId="2490" priority="105">
      <formula>$C$30="Yes"</formula>
    </cfRule>
  </conditionalFormatting>
  <conditionalFormatting sqref="I171:I175">
    <cfRule type="expression" dxfId="2489" priority="104">
      <formula>$C$30="Yes"</formula>
    </cfRule>
  </conditionalFormatting>
  <conditionalFormatting sqref="I179:I182">
    <cfRule type="expression" dxfId="2488" priority="103">
      <formula>$C$183="No"</formula>
    </cfRule>
  </conditionalFormatting>
  <conditionalFormatting sqref="I179:I182">
    <cfRule type="expression" dxfId="2487" priority="102">
      <formula>$C$30="Yes"</formula>
    </cfRule>
  </conditionalFormatting>
  <conditionalFormatting sqref="I191">
    <cfRule type="expression" dxfId="2486" priority="101">
      <formula>$C$30="Yes"</formula>
    </cfRule>
  </conditionalFormatting>
  <conditionalFormatting sqref="I210">
    <cfRule type="expression" dxfId="2485" priority="100">
      <formula>$C$30="Yes"</formula>
    </cfRule>
  </conditionalFormatting>
  <conditionalFormatting sqref="I206:I209">
    <cfRule type="expression" dxfId="2484" priority="99">
      <formula>$C$30="Yes"</formula>
    </cfRule>
  </conditionalFormatting>
  <conditionalFormatting sqref="I211:I216">
    <cfRule type="expression" dxfId="2483" priority="98">
      <formula>$C$30="Yes"</formula>
    </cfRule>
  </conditionalFormatting>
  <conditionalFormatting sqref="I218:I222">
    <cfRule type="expression" dxfId="2482" priority="97">
      <formula>$C$30="Yes"</formula>
    </cfRule>
  </conditionalFormatting>
  <conditionalFormatting sqref="I245:I246">
    <cfRule type="expression" dxfId="2481" priority="95">
      <formula>$C$30="Yes"</formula>
    </cfRule>
  </conditionalFormatting>
  <conditionalFormatting sqref="I248:I252">
    <cfRule type="expression" dxfId="2480" priority="94">
      <formula>$C$30="Yes"</formula>
    </cfRule>
  </conditionalFormatting>
  <conditionalFormatting sqref="I254:I257">
    <cfRule type="expression" dxfId="2479" priority="93">
      <formula>$C$30="Yes"</formula>
    </cfRule>
  </conditionalFormatting>
  <conditionalFormatting sqref="I273:I277">
    <cfRule type="expression" dxfId="2478" priority="92">
      <formula>$C$30="Yes"</formula>
    </cfRule>
  </conditionalFormatting>
  <conditionalFormatting sqref="I269:I272">
    <cfRule type="expression" dxfId="2477" priority="91">
      <formula>$C$30="Yes"</formula>
    </cfRule>
  </conditionalFormatting>
  <conditionalFormatting sqref="I278:I280">
    <cfRule type="expression" dxfId="2476" priority="88">
      <formula>$C$275="No"</formula>
    </cfRule>
  </conditionalFormatting>
  <conditionalFormatting sqref="I278:I280">
    <cfRule type="expression" dxfId="2475" priority="89">
      <formula>$C$276="No"</formula>
    </cfRule>
  </conditionalFormatting>
  <conditionalFormatting sqref="I278:I280">
    <cfRule type="expression" dxfId="2474" priority="90">
      <formula>$C$30="Yes"</formula>
    </cfRule>
  </conditionalFormatting>
  <conditionalFormatting sqref="I287">
    <cfRule type="expression" dxfId="2473" priority="87">
      <formula>$C$30="Yes"</formula>
    </cfRule>
  </conditionalFormatting>
  <conditionalFormatting sqref="I298">
    <cfRule type="expression" dxfId="2472" priority="86">
      <formula>$C$30="Yes"</formula>
    </cfRule>
  </conditionalFormatting>
  <conditionalFormatting sqref="I301:I312">
    <cfRule type="expression" dxfId="2471" priority="85">
      <formula>$C$30="Yes"</formula>
    </cfRule>
  </conditionalFormatting>
  <conditionalFormatting sqref="B47:B49">
    <cfRule type="expression" dxfId="2470" priority="83">
      <formula>$C$26="No"</formula>
    </cfRule>
  </conditionalFormatting>
  <conditionalFormatting sqref="B50">
    <cfRule type="expression" dxfId="2469" priority="82">
      <formula>$C$26="No"</formula>
    </cfRule>
  </conditionalFormatting>
  <conditionalFormatting sqref="I243">
    <cfRule type="expression" dxfId="246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70" workbookViewId="0">
      <selection activeCell="G78" sqref="G78"/>
    </sheetView>
  </sheetViews>
  <sheetFormatPr baseColWidth="10" defaultColWidth="8.5" defaultRowHeight="16" x14ac:dyDescent="0.2"/>
  <cols>
    <col min="1" max="1" width="20.125" style="139" customWidth="1"/>
    <col min="2" max="2" width="14.5" style="139" customWidth="1"/>
    <col min="3" max="3" width="26" style="139" customWidth="1"/>
    <col min="4" max="4" width="11.5" style="139" customWidth="1"/>
    <col min="5" max="5" width="14.625" style="139" customWidth="1"/>
    <col min="6" max="6" width="16.625" style="139" customWidth="1"/>
    <col min="7" max="7" width="11.25" style="139" customWidth="1"/>
    <col min="8" max="8" width="21.75" style="139" customWidth="1"/>
    <col min="9" max="16384" width="8.5" style="139"/>
  </cols>
  <sheetData>
    <row r="1" spans="1:8" ht="36" customHeight="1" x14ac:dyDescent="0.2">
      <c r="A1" s="332" t="s">
        <v>2983</v>
      </c>
      <c r="B1" s="332"/>
      <c r="C1" s="332"/>
      <c r="D1" s="332"/>
      <c r="E1" s="332"/>
      <c r="F1" s="332"/>
      <c r="G1" s="333"/>
      <c r="H1" s="203" t="str">
        <f>'HECVAT - Full'!E1</f>
        <v>Version 2.11</v>
      </c>
    </row>
    <row r="2" spans="1:8" ht="26" customHeight="1" x14ac:dyDescent="0.2">
      <c r="A2" s="291" t="s">
        <v>95</v>
      </c>
      <c r="B2" s="291"/>
      <c r="C2" s="291"/>
      <c r="D2" s="291"/>
      <c r="E2" s="291"/>
      <c r="F2" s="291"/>
      <c r="G2" s="291"/>
      <c r="H2" s="291"/>
    </row>
    <row r="3" spans="1:8" s="229" customFormat="1" ht="26" customHeight="1" x14ac:dyDescent="0.2">
      <c r="A3" s="337" t="s">
        <v>10</v>
      </c>
      <c r="B3" s="338"/>
      <c r="C3" s="338"/>
      <c r="D3" s="338"/>
      <c r="E3" s="338"/>
      <c r="F3" s="338"/>
      <c r="G3" s="338"/>
      <c r="H3" s="338"/>
    </row>
    <row r="4" spans="1:8" s="229" customFormat="1" ht="40.5" customHeight="1" x14ac:dyDescent="0.2">
      <c r="A4" s="339" t="s">
        <v>2661</v>
      </c>
      <c r="B4" s="340"/>
      <c r="C4" s="340"/>
      <c r="D4" s="340"/>
      <c r="E4" s="340"/>
      <c r="F4" s="340"/>
      <c r="G4" s="340"/>
      <c r="H4" s="340"/>
    </row>
    <row r="5" spans="1:8" s="17" customFormat="1" ht="48" customHeight="1" x14ac:dyDescent="0.2">
      <c r="A5" s="157" t="s">
        <v>2</v>
      </c>
      <c r="B5" s="334" t="str">
        <f>'HECVAT - Full'!C7</f>
        <v>Hit Labs, Inc.</v>
      </c>
      <c r="C5" s="334"/>
      <c r="D5" s="186"/>
      <c r="E5" s="157" t="s">
        <v>3</v>
      </c>
      <c r="F5" s="327" t="str">
        <f>'HECVAT - Full'!C8</f>
        <v>Pronto</v>
      </c>
      <c r="G5" s="327"/>
      <c r="H5" s="327"/>
    </row>
    <row r="6" spans="1:8" s="17" customFormat="1" ht="48" customHeight="1" x14ac:dyDescent="0.2">
      <c r="A6" s="157" t="s">
        <v>6</v>
      </c>
      <c r="B6" s="287" t="str">
        <f>'HECVAT - Full'!C11</f>
        <v>Ben Dolman</v>
      </c>
      <c r="C6" s="287"/>
      <c r="D6" s="187"/>
      <c r="E6" s="157" t="s">
        <v>4</v>
      </c>
      <c r="F6" s="327" t="str">
        <f>'HECVAT - Full'!C9</f>
        <v>Realtime text and video communication app</v>
      </c>
      <c r="G6" s="327"/>
      <c r="H6" s="327"/>
    </row>
    <row r="7" spans="1:8" s="17" customFormat="1" ht="48" customHeight="1" x14ac:dyDescent="0.2">
      <c r="A7" s="157" t="s">
        <v>7</v>
      </c>
      <c r="B7" s="335" t="str">
        <f>'HECVAT - Full'!C12</f>
        <v>Chief Technology Officer</v>
      </c>
      <c r="C7" s="336"/>
      <c r="D7" s="188"/>
      <c r="E7" s="157" t="s">
        <v>2057</v>
      </c>
      <c r="F7" s="327" t="s">
        <v>2058</v>
      </c>
      <c r="G7" s="327"/>
      <c r="H7" s="327"/>
    </row>
    <row r="8" spans="1:8" s="17" customFormat="1" ht="48" customHeight="1" x14ac:dyDescent="0.2">
      <c r="A8" s="157" t="s">
        <v>2612</v>
      </c>
      <c r="B8" s="287" t="str">
        <f>'HECVAT - Full'!C13</f>
        <v>ben@pronto.io</v>
      </c>
      <c r="C8" s="287"/>
      <c r="D8" s="189"/>
      <c r="E8" s="157" t="s">
        <v>2059</v>
      </c>
      <c r="F8" s="328">
        <f>'HECVAT - Full'!C3</f>
        <v>44207</v>
      </c>
      <c r="G8" s="328"/>
      <c r="H8" s="328"/>
    </row>
    <row r="9" spans="1:8" s="17" customFormat="1" ht="24.75" customHeight="1" x14ac:dyDescent="0.2">
      <c r="A9" s="157"/>
      <c r="B9" s="228"/>
      <c r="C9" s="228"/>
      <c r="D9" s="230"/>
      <c r="E9" s="231"/>
      <c r="F9" s="232"/>
      <c r="G9" s="232"/>
      <c r="H9" s="233"/>
    </row>
    <row r="10" spans="1:8" s="17" customFormat="1" ht="48" customHeight="1" x14ac:dyDescent="0.2">
      <c r="A10" s="173" t="s">
        <v>2616</v>
      </c>
      <c r="B10" s="172"/>
      <c r="C10" s="132" t="str">
        <f>IF(B10="","&lt;- Select your security framework.","")</f>
        <v>&lt;- Select your security framework.</v>
      </c>
      <c r="D10" s="329"/>
      <c r="E10" s="330"/>
      <c r="F10" s="330"/>
      <c r="G10" s="330"/>
      <c r="H10" s="331"/>
    </row>
    <row r="11" spans="1:8" s="156" customFormat="1" ht="24" customHeight="1" x14ac:dyDescent="0.2">
      <c r="A11" s="325"/>
      <c r="B11" s="325"/>
      <c r="C11" s="325"/>
    </row>
    <row r="12" spans="1:8" ht="24" customHeight="1" x14ac:dyDescent="0.2">
      <c r="C12" s="163" t="s">
        <v>2060</v>
      </c>
      <c r="D12" s="163" t="s">
        <v>2052</v>
      </c>
      <c r="E12" s="163" t="s">
        <v>2051</v>
      </c>
      <c r="F12" s="163" t="s">
        <v>2053</v>
      </c>
    </row>
    <row r="13" spans="1:8" x14ac:dyDescent="0.15">
      <c r="C13" s="159" t="str">
        <f>Questions!T2</f>
        <v>Documentation</v>
      </c>
      <c r="D13" s="160">
        <f>Questions!X2</f>
        <v>105</v>
      </c>
      <c r="E13" s="160">
        <f>Questions!W2</f>
        <v>65</v>
      </c>
      <c r="F13" s="161">
        <f>Questions!Y2</f>
        <v>0.61904761904761907</v>
      </c>
    </row>
    <row r="14" spans="1:8" x14ac:dyDescent="0.15">
      <c r="C14" s="159" t="str">
        <f>Questions!T3</f>
        <v>Application Security</v>
      </c>
      <c r="D14" s="160">
        <f>Questions!X3</f>
        <v>375</v>
      </c>
      <c r="E14" s="160">
        <f>Questions!W3</f>
        <v>200</v>
      </c>
      <c r="F14" s="161">
        <f>Questions!Y3</f>
        <v>0.53333333333333333</v>
      </c>
    </row>
    <row r="15" spans="1:8" ht="30" x14ac:dyDescent="0.15">
      <c r="C15" s="159" t="str">
        <f>Questions!T4</f>
        <v>Authentication, Authorization, and Accounting</v>
      </c>
      <c r="D15" s="160">
        <f>Questions!X4</f>
        <v>365</v>
      </c>
      <c r="E15" s="160">
        <f>Questions!W4</f>
        <v>110</v>
      </c>
      <c r="F15" s="161">
        <f>Questions!Y4</f>
        <v>0.30136986301369861</v>
      </c>
    </row>
    <row r="16" spans="1:8" x14ac:dyDescent="0.15">
      <c r="C16" s="159" t="str">
        <f>Questions!T5</f>
        <v>Change Management</v>
      </c>
      <c r="D16" s="160">
        <f>Questions!X5</f>
        <v>275</v>
      </c>
      <c r="E16" s="160">
        <f>Questions!W5</f>
        <v>155</v>
      </c>
      <c r="F16" s="161">
        <f>Questions!Y5</f>
        <v>0.5636363636363636</v>
      </c>
    </row>
    <row r="17" spans="3:6" x14ac:dyDescent="0.15">
      <c r="C17" s="159" t="str">
        <f>Questions!T6</f>
        <v>Company</v>
      </c>
      <c r="D17" s="160">
        <f>Questions!X6</f>
        <v>120</v>
      </c>
      <c r="E17" s="160">
        <f>Questions!W6</f>
        <v>50</v>
      </c>
      <c r="F17" s="161">
        <f>Questions!Y6</f>
        <v>0.41666666666666669</v>
      </c>
    </row>
    <row r="18" spans="3:6" x14ac:dyDescent="0.15">
      <c r="C18" s="159" t="str">
        <f>Questions!T7</f>
        <v>Data</v>
      </c>
      <c r="D18" s="160">
        <f>Questions!X7</f>
        <v>565</v>
      </c>
      <c r="E18" s="160">
        <f>Questions!W7</f>
        <v>390</v>
      </c>
      <c r="F18" s="161">
        <f>Questions!Y7</f>
        <v>0.69026548672566368</v>
      </c>
    </row>
    <row r="19" spans="3:6" x14ac:dyDescent="0.15">
      <c r="C19" s="159" t="str">
        <f>Questions!T8</f>
        <v>Database</v>
      </c>
      <c r="D19" s="160">
        <f>Questions!X8</f>
        <v>50</v>
      </c>
      <c r="E19" s="160">
        <f>Questions!W8</f>
        <v>50</v>
      </c>
      <c r="F19" s="161">
        <f>Questions!Y8</f>
        <v>1</v>
      </c>
    </row>
    <row r="20" spans="3:6" x14ac:dyDescent="0.15">
      <c r="C20" s="159" t="str">
        <f>Questions!T9</f>
        <v>Datacenter</v>
      </c>
      <c r="D20" s="160">
        <f>Questions!X9</f>
        <v>310</v>
      </c>
      <c r="E20" s="160">
        <f>Questions!W9</f>
        <v>220</v>
      </c>
      <c r="F20" s="161">
        <f>Questions!Y9</f>
        <v>0.70967741935483875</v>
      </c>
    </row>
    <row r="21" spans="3:6" ht="30" x14ac:dyDescent="0.15">
      <c r="C21" s="159" t="str">
        <f>Questions!T10</f>
        <v>Firewalls, IDS, IPS, and Networking</v>
      </c>
      <c r="D21" s="160">
        <f>Questions!X10</f>
        <v>265</v>
      </c>
      <c r="E21" s="160">
        <f>Questions!W10</f>
        <v>110</v>
      </c>
      <c r="F21" s="161">
        <f>Questions!Y10</f>
        <v>0.41509433962264153</v>
      </c>
    </row>
    <row r="22" spans="3:6" x14ac:dyDescent="0.15">
      <c r="C22" s="159" t="str">
        <f>Questions!T11</f>
        <v>Physical Security</v>
      </c>
      <c r="D22" s="160">
        <f>Questions!X11</f>
        <v>100</v>
      </c>
      <c r="E22" s="160">
        <f>Questions!W11</f>
        <v>75</v>
      </c>
      <c r="F22" s="161">
        <f>Questions!Y11</f>
        <v>0.75</v>
      </c>
    </row>
    <row r="23" spans="3:6" ht="30" x14ac:dyDescent="0.15">
      <c r="C23" s="159" t="str">
        <f>Questions!T12</f>
        <v>Policies, Procedures, and Processes</v>
      </c>
      <c r="D23" s="160">
        <f>Questions!X12</f>
        <v>420</v>
      </c>
      <c r="E23" s="160">
        <f>Questions!W12</f>
        <v>380</v>
      </c>
      <c r="F23" s="161">
        <f>Questions!Y12</f>
        <v>0.90476190476190477</v>
      </c>
    </row>
    <row r="24" spans="3:6" ht="30" x14ac:dyDescent="0.15">
      <c r="C24" s="159" t="str">
        <f>Questions!T13</f>
        <v>Systems Management &amp; Configuration</v>
      </c>
      <c r="D24" s="160">
        <f>Questions!X13</f>
        <v>70</v>
      </c>
      <c r="E24" s="160">
        <f>Questions!W13</f>
        <v>20</v>
      </c>
      <c r="F24" s="161">
        <f>Questions!Y13</f>
        <v>0.2857142857142857</v>
      </c>
    </row>
    <row r="25" spans="3:6" x14ac:dyDescent="0.15">
      <c r="C25" s="159" t="str">
        <f>Questions!T14</f>
        <v>Vulnerability Scanning</v>
      </c>
      <c r="D25" s="160">
        <f>Questions!X14</f>
        <v>170</v>
      </c>
      <c r="E25" s="160">
        <f>Questions!W14</f>
        <v>60</v>
      </c>
      <c r="F25" s="161">
        <f>Questions!Y14</f>
        <v>0.35294117647058826</v>
      </c>
    </row>
    <row r="26" spans="3:6" x14ac:dyDescent="0.15">
      <c r="C26" s="159" t="str">
        <f>Questions!T15</f>
        <v/>
      </c>
      <c r="D26" s="160" t="str">
        <f>Questions!X15</f>
        <v/>
      </c>
      <c r="E26" s="160" t="str">
        <f>Questions!W15</f>
        <v/>
      </c>
      <c r="F26" s="161" t="str">
        <f>Questions!Y15</f>
        <v/>
      </c>
    </row>
    <row r="27" spans="3:6" x14ac:dyDescent="0.15">
      <c r="C27" s="159" t="str">
        <f>Questions!T16</f>
        <v>Mobile App</v>
      </c>
      <c r="D27" s="160">
        <f>Questions!X16</f>
        <v>265</v>
      </c>
      <c r="E27" s="160">
        <f>Questions!W16</f>
        <v>115</v>
      </c>
      <c r="F27" s="161">
        <f>Questions!Y16</f>
        <v>0.43396226415094341</v>
      </c>
    </row>
    <row r="28" spans="3:6" x14ac:dyDescent="0.15">
      <c r="C28" s="159" t="str">
        <f>Questions!T17</f>
        <v>Third Parties</v>
      </c>
      <c r="D28" s="160">
        <f>Questions!X17</f>
        <v>100</v>
      </c>
      <c r="E28" s="160">
        <f>Questions!W17</f>
        <v>0</v>
      </c>
      <c r="F28" s="161">
        <f>Questions!Y17</f>
        <v>0</v>
      </c>
    </row>
    <row r="29" spans="3:6" x14ac:dyDescent="0.15">
      <c r="C29" s="159" t="str">
        <f>Questions!T18</f>
        <v>Business Continuity Plan</v>
      </c>
      <c r="D29" s="160">
        <f>Questions!X18</f>
        <v>250</v>
      </c>
      <c r="E29" s="160">
        <f>Questions!W18</f>
        <v>160</v>
      </c>
      <c r="F29" s="161">
        <f>Questions!Y18</f>
        <v>0.64</v>
      </c>
    </row>
    <row r="30" spans="3:6" x14ac:dyDescent="0.15">
      <c r="C30" s="159" t="str">
        <f>Questions!T19</f>
        <v>Disaster Recovery Plan</v>
      </c>
      <c r="D30" s="160">
        <f>Questions!X19</f>
        <v>250</v>
      </c>
      <c r="E30" s="160">
        <f>Questions!W19</f>
        <v>165</v>
      </c>
      <c r="F30" s="161">
        <f>Questions!Y19</f>
        <v>0.66</v>
      </c>
    </row>
    <row r="31" spans="3:6" x14ac:dyDescent="0.15">
      <c r="C31" s="159" t="str">
        <f>Questions!T20</f>
        <v/>
      </c>
      <c r="D31" s="160" t="str">
        <f>Questions!X20</f>
        <v/>
      </c>
      <c r="E31" s="160" t="str">
        <f>Questions!W20</f>
        <v/>
      </c>
      <c r="F31" s="161" t="str">
        <f>Questions!Y20</f>
        <v/>
      </c>
    </row>
    <row r="32" spans="3:6" x14ac:dyDescent="0.15">
      <c r="C32" s="159" t="str">
        <f>Questions!T21</f>
        <v/>
      </c>
      <c r="D32" s="160" t="str">
        <f>Questions!X21</f>
        <v/>
      </c>
      <c r="E32" s="160" t="str">
        <f>Questions!W21</f>
        <v/>
      </c>
      <c r="F32" s="161"/>
    </row>
    <row r="33" spans="1:8" s="18" customFormat="1" ht="36" customHeight="1" x14ac:dyDescent="0.2">
      <c r="C33" s="163" t="s">
        <v>2101</v>
      </c>
      <c r="D33" s="163" t="str">
        <f>Questions!X23</f>
        <v>F</v>
      </c>
      <c r="E33" s="164">
        <f>Questions!Y23</f>
        <v>2325</v>
      </c>
      <c r="F33" s="165">
        <f>Questions!W23</f>
        <v>0.54567474838226748</v>
      </c>
    </row>
    <row r="36" spans="1:8" s="151" customFormat="1" ht="36" customHeight="1" x14ac:dyDescent="0.2">
      <c r="A36" s="326" t="s">
        <v>2062</v>
      </c>
      <c r="B36" s="326"/>
      <c r="C36" s="326"/>
      <c r="D36" s="326"/>
      <c r="E36" s="326"/>
      <c r="F36" s="326"/>
      <c r="G36" s="326"/>
    </row>
    <row r="37" spans="1:8" s="137" customFormat="1" ht="36" customHeight="1" x14ac:dyDescent="0.2">
      <c r="A37" s="142" t="s">
        <v>2024</v>
      </c>
      <c r="B37" s="324" t="s">
        <v>2025</v>
      </c>
      <c r="C37" s="324"/>
      <c r="D37" s="324" t="s">
        <v>2063</v>
      </c>
      <c r="E37" s="324"/>
      <c r="F37" s="324"/>
      <c r="G37" s="142" t="s">
        <v>2064</v>
      </c>
    </row>
    <row r="38" spans="1:8" ht="48" customHeight="1" x14ac:dyDescent="0.2">
      <c r="A38" s="139" t="str">
        <f>'HECVAT - Full'!A39</f>
        <v>COMP-01</v>
      </c>
      <c r="B38" s="322" t="str">
        <f>'HECVAT - Full'!B39</f>
        <v>Describe your organization’s business background and ownership structure, including all parent and subsidiary relationships.</v>
      </c>
      <c r="C38" s="322"/>
      <c r="D38" s="323" t="str">
        <f>'HECVAT - Full'!C39</f>
        <v xml:space="preserve">Entity is Hit Labs, Inc., a venture-backed Delaware corporation based in American Fork, Utah. Ownership is divided among founders, employees, and venture capital firms and individual investors. </v>
      </c>
      <c r="E38" s="323"/>
      <c r="F38" s="323"/>
      <c r="H38" s="152" t="str">
        <f t="shared" ref="H38:H40" si="0">IF(G38="","Please rate the vendor's answer","")</f>
        <v>Please rate the vendor's answer</v>
      </c>
    </row>
    <row r="39" spans="1:8" ht="48" customHeight="1" x14ac:dyDescent="0.2">
      <c r="A39" s="139" t="str">
        <f>'HECVAT - Full'!A40</f>
        <v>COMP-02</v>
      </c>
      <c r="B39" s="322" t="str">
        <f>'HECVAT - Full'!B40</f>
        <v>Describe how long your organization has conducted business in this product area.</v>
      </c>
      <c r="C39" s="322"/>
      <c r="D39" s="323" t="str">
        <f>'HECVAT - Full'!C40</f>
        <v>Since Q3 2015</v>
      </c>
      <c r="E39" s="323"/>
      <c r="F39" s="323"/>
      <c r="H39" s="152" t="str">
        <f t="shared" si="0"/>
        <v>Please rate the vendor's answer</v>
      </c>
    </row>
    <row r="40" spans="1:8" ht="48" customHeight="1" x14ac:dyDescent="0.2">
      <c r="A40" s="139" t="str">
        <f>'HECVAT - Full'!A45</f>
        <v>COMP-07</v>
      </c>
      <c r="B40" s="322" t="str">
        <f>'HECVAT - Full'!B45</f>
        <v>Use this area to share information about your environment that will assist those who are assessing your company data security program.</v>
      </c>
      <c r="C40" s="322"/>
      <c r="D40" s="323" t="str">
        <f>'HECVAT - Full'!C45</f>
        <v>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v>
      </c>
      <c r="E40" s="323"/>
      <c r="F40" s="323"/>
      <c r="H40" s="152" t="str">
        <f t="shared" si="0"/>
        <v>Please rate the vendor's answer</v>
      </c>
    </row>
    <row r="41" spans="1:8" ht="48" customHeight="1" x14ac:dyDescent="0.2">
      <c r="A41" s="139" t="str">
        <f>'HECVAT - Full'!A68</f>
        <v>APPL-07</v>
      </c>
      <c r="B41" s="322" t="str">
        <f>'HECVAT - Full'!B68</f>
        <v>What operating system(s) is/are leveraged by the system(s)/application(s) that will have access to institution's data?</v>
      </c>
      <c r="C41" s="322"/>
      <c r="D41" s="323" t="str">
        <f>'HECVAT - Full'!C68</f>
        <v>CentOS, AWS Linux, Ubuntu</v>
      </c>
      <c r="E41" s="323"/>
      <c r="F41" s="323"/>
      <c r="H41" s="152" t="str">
        <f t="shared" ref="H41:H65" si="1">IF(G41="","Please rate the vendor's answer","")</f>
        <v>Please rate the vendor's answer</v>
      </c>
    </row>
    <row r="42" spans="1:8" ht="48" customHeight="1" x14ac:dyDescent="0.2">
      <c r="A42" s="139" t="str">
        <f>'HECVAT - Full'!A70</f>
        <v>APPL-09</v>
      </c>
      <c r="B42" s="322" t="str">
        <f>'HECVAT - Full'!B70</f>
        <v xml:space="preserve">Describe or provide a reference to additional software/products necessary to implement a functional system on either the backend or user-interface side of the system. </v>
      </c>
      <c r="C42" s="322"/>
      <c r="D42" s="323" t="str">
        <f>'HECVAT - Full'!C70</f>
        <v>To access Pronto via the web, a modern web browser is required. There are also minimum OS requirements for the mobile app on iOS and Android. Please see the individual App Store and Play Store listings for up-to-date information on miminum system requirements.</v>
      </c>
      <c r="E42" s="323"/>
      <c r="F42" s="323"/>
      <c r="H42" s="152" t="str">
        <f t="shared" si="1"/>
        <v>Please rate the vendor's answer</v>
      </c>
    </row>
    <row r="43" spans="1:8" ht="48" customHeight="1" x14ac:dyDescent="0.2">
      <c r="A43" s="139" t="str">
        <f>'HECVAT - Full'!A71</f>
        <v>APPL-10</v>
      </c>
      <c r="B43" s="322" t="str">
        <f>'HECVAT - Full'!B71</f>
        <v xml:space="preserve">Describe or provide a reference to the overall system and/or application architecture(s), including appropriate diagrams. Include a full description of the data communications architecture for all components of the system. </v>
      </c>
      <c r="C43" s="322"/>
      <c r="D43" s="323" t="str">
        <f>'HECVAT - Full'!C71</f>
        <v>Please see the Pronto System Documentation and Pronto Network Diagram documents.</v>
      </c>
      <c r="E43" s="323"/>
      <c r="F43" s="323"/>
      <c r="H43" s="152" t="str">
        <f t="shared" si="1"/>
        <v>Please rate the vendor's answer</v>
      </c>
    </row>
    <row r="44" spans="1:8" ht="48" customHeight="1" x14ac:dyDescent="0.2">
      <c r="A44" s="139" t="str">
        <f>'HECVAT - Full'!A73</f>
        <v>APPL-12</v>
      </c>
      <c r="B44" s="322" t="str">
        <f>'HECVAT - Full'!B73</f>
        <v xml:space="preserve">Describe or provide a reference to all web-enabled features and functionality of the system (i.e. accessed via a web-based interface). </v>
      </c>
      <c r="C44" s="322"/>
      <c r="D44" s="323" t="str">
        <f>'HECVAT - Full'!C73</f>
        <v>Please visit https://support.pronto.io to find a series of support articles that describe Pronto's functionality.</v>
      </c>
      <c r="E44" s="323"/>
      <c r="F44" s="323"/>
      <c r="H44" s="152" t="str">
        <f t="shared" si="1"/>
        <v>Please rate the vendor's answer</v>
      </c>
    </row>
    <row r="45" spans="1:8" ht="48" customHeight="1" x14ac:dyDescent="0.2">
      <c r="A45" s="139" t="str">
        <f>'HECVAT - Full'!A74</f>
        <v>APPL-13</v>
      </c>
      <c r="B45" s="322" t="str">
        <f>'HECVAT - Full'!B74</f>
        <v>Are there any OS and/or web-browser combinations that are not currently supported?</v>
      </c>
      <c r="C45" s="322"/>
      <c r="D45" s="323" t="str">
        <f>'HECVAT - Full'!C74</f>
        <v>Yes</v>
      </c>
      <c r="E45" s="323"/>
      <c r="F45" s="323"/>
      <c r="H45" s="152" t="str">
        <f t="shared" si="1"/>
        <v>Please rate the vendor's answer</v>
      </c>
    </row>
    <row r="46" spans="1:8" ht="48" customHeight="1" x14ac:dyDescent="0.2">
      <c r="A46" s="139" t="str">
        <f>'HECVAT - Full'!A76</f>
        <v>APPL-15</v>
      </c>
      <c r="B46" s="322" t="str">
        <f>'HECVAT - Full'!B76</f>
        <v>Describe or provide a reference to the facilities available in the system to provide separation of duties between security administration and system administration functions.</v>
      </c>
      <c r="C46" s="322"/>
      <c r="D46" s="323" t="str">
        <f>'HECVAT - Full'!C76</f>
        <v>Please see the Information Security Policy document</v>
      </c>
      <c r="E46" s="323"/>
      <c r="F46" s="323"/>
      <c r="H46" s="152" t="str">
        <f t="shared" si="1"/>
        <v>Please rate the vendor's answer</v>
      </c>
    </row>
    <row r="47" spans="1:8" ht="48" customHeight="1" x14ac:dyDescent="0.2">
      <c r="A47" s="139" t="str">
        <f>'HECVAT - Full'!A77</f>
        <v>APPL-16</v>
      </c>
      <c r="B47" s="322" t="str">
        <f>'HECVAT - Full'!B77</f>
        <v>Describe or provide a reference that details how administrator access is handled (e.g. provisioning, principle of least privilege, deprovisioning, etc.)</v>
      </c>
      <c r="C47" s="322"/>
      <c r="D47" s="323" t="str">
        <f>'HECVAT - Full'!C77</f>
        <v>Please see the Information Security Policy document</v>
      </c>
      <c r="E47" s="323"/>
      <c r="F47" s="323"/>
      <c r="H47" s="152" t="str">
        <f t="shared" si="1"/>
        <v>Please rate the vendor's answer</v>
      </c>
    </row>
    <row r="48" spans="1:8" ht="48" customHeight="1" x14ac:dyDescent="0.2">
      <c r="A48" s="139" t="str">
        <f>'HECVAT - Full'!A78</f>
        <v>APPL-17</v>
      </c>
      <c r="B48" s="322" t="str">
        <f>'HECVAT - Full'!B78</f>
        <v>Describe or provide references explaining how tertiary services are redundant (i.e. DNS, ISP, etc.).</v>
      </c>
      <c r="C48" s="322"/>
      <c r="D48" s="323" t="str">
        <f>'HECVAT - Full'!C78</f>
        <v xml:space="preserve">All services in AWS are redundant within AWS (e.g. load balancers, EC2 servers, Route53 DNS). Tertiary services are not redundant, e.g. one domain name, one logging service, one off-site backup service. Those services may or may not include redundancy within their own implementations.	</v>
      </c>
      <c r="E48" s="323"/>
      <c r="F48" s="323"/>
      <c r="H48" s="152" t="str">
        <f t="shared" si="1"/>
        <v>Please rate the vendor's answer</v>
      </c>
    </row>
    <row r="49" spans="1:8" ht="48" customHeight="1" x14ac:dyDescent="0.2">
      <c r="A49" s="139" t="str">
        <f>'HECVAT - Full'!A95</f>
        <v>AAAI-16</v>
      </c>
      <c r="B49" s="322"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322"/>
      <c r="D49" s="323" t="str">
        <f>'HECVAT - Full'!C95</f>
        <v xml:space="preserve">Management and security/authorization changes are logged. Security events are also monitored and logged, including login failures. </v>
      </c>
      <c r="E49" s="323"/>
      <c r="F49" s="323"/>
      <c r="H49" s="152" t="str">
        <f t="shared" si="1"/>
        <v>Please rate the vendor's answer</v>
      </c>
    </row>
    <row r="50" spans="1:8" ht="48" customHeight="1" x14ac:dyDescent="0.2">
      <c r="A50" s="139" t="str">
        <f>'HECVAT - Full'!A112</f>
        <v>CHNG-02</v>
      </c>
      <c r="B50" s="322"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322"/>
      <c r="D50" s="323" t="str">
        <f>'HECVAT - Full'!C112</f>
        <v>All code is internally reviewed and tested before release. Pronto employs both code-level unit tests and integration tests in a parallel development environment that mirrors production. Security-impacting changes are reviewed by the lead security architect prior to deployment.</v>
      </c>
      <c r="E50" s="323"/>
      <c r="F50" s="323"/>
      <c r="H50" s="152" t="str">
        <f t="shared" si="1"/>
        <v>Please rate the vendor's answer</v>
      </c>
    </row>
    <row r="51" spans="1:8" ht="48" customHeight="1" x14ac:dyDescent="0.2">
      <c r="A51" s="139" t="str">
        <f>'HECVAT - Full'!A115</f>
        <v>CHNG-05</v>
      </c>
      <c r="B51" s="322" t="str">
        <f>'HECVAT - Full'!B115</f>
        <v>Describe or provide a reference to your solution support strategy in relation to maintaining software currency. (i.e. how many concurrent versions are you willing to run and support?)</v>
      </c>
      <c r="C51" s="322"/>
      <c r="D51" s="323" t="str">
        <f>'HECVAT - Full'!C115</f>
        <v>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v>
      </c>
      <c r="E51" s="323"/>
      <c r="F51" s="323"/>
      <c r="H51" s="152" t="str">
        <f t="shared" si="1"/>
        <v>Please rate the vendor's answer</v>
      </c>
    </row>
    <row r="52" spans="1:8" ht="48" customHeight="1" x14ac:dyDescent="0.2">
      <c r="A52" s="139" t="str">
        <f>'HECVAT - Full'!A116</f>
        <v>CHNG-06</v>
      </c>
      <c r="B52" s="322" t="str">
        <f>'HECVAT - Full'!B116</f>
        <v>Identify the most current version of the software. Detail the percentage of live customers that are utilizing the proposed version of the software as well as each version of the software currently in use.</v>
      </c>
      <c r="C52" s="322"/>
      <c r="D52" s="323" t="str">
        <f>'HECVAT - Full'!C116</f>
        <v>All customers are on the latest version</v>
      </c>
      <c r="E52" s="323"/>
      <c r="F52" s="323"/>
      <c r="H52" s="152" t="str">
        <f t="shared" si="1"/>
        <v>Please rate the vendor's answer</v>
      </c>
    </row>
    <row r="53" spans="1:8" ht="48" customHeight="1" x14ac:dyDescent="0.2">
      <c r="A53" s="139" t="str">
        <f>'HECVAT - Full'!A117</f>
        <v>CHNG-07</v>
      </c>
      <c r="B53" s="322" t="str">
        <f>'HECVAT - Full'!B117</f>
        <v>Does the system support client customizations from one release to another?</v>
      </c>
      <c r="C53" s="322"/>
      <c r="D53" s="323" t="str">
        <f>'HECVAT - Full'!C117</f>
        <v>Yes</v>
      </c>
      <c r="E53" s="323"/>
      <c r="F53" s="323"/>
      <c r="H53" s="152" t="str">
        <f t="shared" si="1"/>
        <v>Please rate the vendor's answer</v>
      </c>
    </row>
    <row r="54" spans="1:8" ht="48" customHeight="1" x14ac:dyDescent="0.2">
      <c r="A54" s="139" t="str">
        <f>'HECVAT - Full'!A133</f>
        <v>DATA-07</v>
      </c>
      <c r="B54" s="322" t="str">
        <f>'HECVAT - Full'!B133</f>
        <v>List all locations (i.e. city + datacenter name) where the institution's data will be stored?</v>
      </c>
      <c r="C54" s="322"/>
      <c r="D54" s="323" t="str">
        <f>'HECVAT - Full'!C133</f>
        <v>Virgina (us-east-1 region)  Amazon Web Services (Primary Data Store)
Oregon (us-west-2 region) - Amazon Web Services (Backup Data Store).</v>
      </c>
      <c r="E54" s="323"/>
      <c r="F54" s="323"/>
      <c r="H54" s="152" t="str">
        <f t="shared" si="1"/>
        <v>Please rate the vendor's answer</v>
      </c>
    </row>
    <row r="55" spans="1:8" ht="48" customHeight="1" x14ac:dyDescent="0.2">
      <c r="A55" s="139" t="str">
        <f>'HECVAT - Full'!A140</f>
        <v>DATA-14</v>
      </c>
      <c r="B55" s="322" t="str">
        <f>'HECVAT - Full'!B140</f>
        <v xml:space="preserve">Describe or provide a reference to the backup processes for the servers on which the service and/or data resides. </v>
      </c>
      <c r="C55" s="322"/>
      <c r="D55" s="323" t="str">
        <f>'HECVAT - Full'!C140</f>
        <v>Our distributed database is highly fault tolerant, maintaining at least 2 replicas of each piece of data on different hardware nodes, allowing for multiple simultaneous hardware failures. In addition, data is backed up every 2 hours to separate persistent encrypted storage (S3) across multiple regions allowing for minimal-loss recovery in the event of an unlikely catastrophic failure of our entire primary database cluster.
S3 is used for blob storage (photos, videos, files) and provides industry-leading durability and fault-tolerance.</v>
      </c>
      <c r="E55" s="323"/>
      <c r="F55" s="323"/>
      <c r="H55" s="152" t="str">
        <f t="shared" si="1"/>
        <v>Please rate the vendor's answer</v>
      </c>
    </row>
    <row r="56" spans="1:8" ht="48" customHeight="1" x14ac:dyDescent="0.2">
      <c r="A56" s="139" t="str">
        <f>'HECVAT - Full'!A142</f>
        <v>DATA-16</v>
      </c>
      <c r="B56" s="322" t="str">
        <f>'HECVAT - Full'!B142</f>
        <v>How long are data backups stored?</v>
      </c>
      <c r="C56" s="322"/>
      <c r="D56" s="323" t="str">
        <f>'HECVAT - Full'!C142</f>
        <v>60 days</v>
      </c>
      <c r="E56" s="323"/>
      <c r="F56" s="323"/>
      <c r="H56" s="152" t="str">
        <f t="shared" si="1"/>
        <v>Please rate the vendor's answer</v>
      </c>
    </row>
    <row r="57" spans="1:8" ht="48" customHeight="1" x14ac:dyDescent="0.2">
      <c r="A57" s="139" t="str">
        <f>'HECVAT - Full'!A165</f>
        <v>DCTR-07</v>
      </c>
      <c r="B57" s="322" t="str">
        <f>'HECVAT - Full'!B165</f>
        <v>Select the option that best describes the network segment that servers are connected to.</v>
      </c>
      <c r="C57" s="322"/>
      <c r="D57" s="323" t="str">
        <f>'HECVAT - Full'!C165</f>
        <v>Exclusive VLAN</v>
      </c>
      <c r="E57" s="323"/>
      <c r="F57" s="323"/>
      <c r="H57" s="152" t="str">
        <f t="shared" si="1"/>
        <v>Please rate the vendor's answer</v>
      </c>
    </row>
    <row r="58" spans="1:8" ht="48" customHeight="1" x14ac:dyDescent="0.2">
      <c r="A58" s="139" t="str">
        <f>'HECVAT - Full'!A168</f>
        <v>DCTR-10</v>
      </c>
      <c r="B58" s="322" t="str">
        <f>'HECVAT - Full'!B168</f>
        <v xml:space="preserve">List all datacenters and the cities, states (provinces), and countries where the Institution's data will be stored (including within the Institution's Data Zone).   </v>
      </c>
      <c r="C58" s="322"/>
      <c r="D58" s="323">
        <f>'HECVAT - Full'!C168</f>
        <v>0</v>
      </c>
      <c r="E58" s="323"/>
      <c r="F58" s="323"/>
      <c r="H58" s="152" t="str">
        <f t="shared" si="1"/>
        <v>Please rate the vendor's answer</v>
      </c>
    </row>
    <row r="59" spans="1:8" ht="48" customHeight="1" x14ac:dyDescent="0.2">
      <c r="A59" s="139" t="str">
        <f>'HECVAT - Full'!A171</f>
        <v>DCTR-13</v>
      </c>
      <c r="B59" s="322" t="str">
        <f>'HECVAT - Full'!B171</f>
        <v>What Tier Level is your data center (per levels defined by the Uptime Institute)?</v>
      </c>
      <c r="C59" s="322"/>
      <c r="D59" s="323" t="str">
        <f>'HECVAT - Full'!C171</f>
        <v>Tier III</v>
      </c>
      <c r="E59" s="323"/>
      <c r="F59" s="323"/>
      <c r="H59" s="152" t="str">
        <f t="shared" si="1"/>
        <v>Please rate the vendor's answer</v>
      </c>
    </row>
    <row r="60" spans="1:8" ht="48" customHeight="1" x14ac:dyDescent="0.2">
      <c r="A60" s="139" t="str">
        <f>'HECVAT - Full'!A175</f>
        <v>DCTR-17</v>
      </c>
      <c r="B60" s="322" t="str">
        <f>'HECVAT - Full'!B175</f>
        <v>Describe or provide a reference to the availability of cooling and fire suppression systems in all datacenters where institution data will reside.</v>
      </c>
      <c r="C60" s="322"/>
      <c r="D60" s="323" t="str">
        <f>'HECVAT - Full'!C175</f>
        <v>Please see https://aws.amazon.com/compliance/data-center/controls/</v>
      </c>
      <c r="E60" s="323"/>
      <c r="F60" s="323"/>
      <c r="H60" s="152" t="str">
        <f t="shared" si="1"/>
        <v>Please rate the vendor's answer</v>
      </c>
    </row>
    <row r="61" spans="1:8" ht="48" customHeight="1" x14ac:dyDescent="0.2">
      <c r="A61" s="139" t="str">
        <f>'HECVAT - Full'!A176</f>
        <v>DCTR-18</v>
      </c>
      <c r="B61" s="322" t="str">
        <f>'HECVAT - Full'!B176</f>
        <v xml:space="preserve">State how many Internet Service Providers (ISPs) provide connectivity to each datacenter where the institution's data will reside. </v>
      </c>
      <c r="C61" s="322"/>
      <c r="D61" s="323" t="str">
        <f>'HECVAT - Full'!C176</f>
        <v>Please see https://aws.amazon.com/compliance/data-center/controls/</v>
      </c>
      <c r="E61" s="323"/>
      <c r="F61" s="323"/>
      <c r="H61" s="152" t="str">
        <f t="shared" si="1"/>
        <v>Please rate the vendor's answer</v>
      </c>
    </row>
    <row r="62" spans="1:8" ht="48" customHeight="1" x14ac:dyDescent="0.2">
      <c r="A62" s="139" t="str">
        <f>'HECVAT - Full'!A195</f>
        <v>FIDP-03</v>
      </c>
      <c r="B62" s="322" t="str">
        <f>'HECVAT - Full'!B195</f>
        <v>State and describe who has the authority to change firewall rules?</v>
      </c>
      <c r="C62" s="322"/>
      <c r="D62" s="323" t="str">
        <f>'HECVAT - Full'!C195</f>
        <v>Only the Development Operations team has authority to change firewall rules</v>
      </c>
      <c r="E62" s="323"/>
      <c r="F62" s="323"/>
      <c r="H62" s="152" t="str">
        <f t="shared" si="1"/>
        <v>Please rate the vendor's answer</v>
      </c>
    </row>
    <row r="63" spans="1:8" ht="48" customHeight="1" x14ac:dyDescent="0.2">
      <c r="A63" s="139" t="str">
        <f>'HECVAT - Full'!A203</f>
        <v>FIDP-11</v>
      </c>
      <c r="B63" s="322" t="str">
        <f>'HECVAT - Full'!B203</f>
        <v>Is intrusion monitoring performed internally or by a third-party service?</v>
      </c>
      <c r="C63" s="322"/>
      <c r="D63" s="323" t="str">
        <f>'HECVAT - Full'!C203</f>
        <v>Internally. Amazon GuardDuty is configured to send email alerts to the DevOps team upon any potential threat.</v>
      </c>
      <c r="E63" s="323"/>
      <c r="F63" s="323"/>
      <c r="H63" s="152" t="str">
        <f t="shared" si="1"/>
        <v>Please rate the vendor's answer</v>
      </c>
    </row>
    <row r="64" spans="1:8" ht="48" customHeight="1" x14ac:dyDescent="0.2">
      <c r="A64" s="139" t="str">
        <f>'HECVAT - Full'!A248</f>
        <v>QLAS-01</v>
      </c>
      <c r="B64" s="323" t="str">
        <f>'HECVAT - Full'!B248</f>
        <v>Provide a general summary of your Quality Assurance program.</v>
      </c>
      <c r="C64" s="323"/>
      <c r="D64" s="323" t="str">
        <f>'HECVAT - Full'!C248</f>
        <v xml:space="preserve">New builds always go into a test environment where, through a combination of manual and automated testing, they are evaluated for bugs.  Issues identified on production are resolved as quickly as possible after patches are rigourously tested again on sandbox and staging environments. </v>
      </c>
      <c r="E64" s="323"/>
      <c r="F64" s="323"/>
      <c r="H64" s="152" t="str">
        <f t="shared" si="1"/>
        <v>Please rate the vendor's answer</v>
      </c>
    </row>
    <row r="65" spans="1:8" ht="48" customHeight="1" x14ac:dyDescent="0.2">
      <c r="A65" s="139" t="str">
        <f>'HECVAT - Full'!A264</f>
        <v>VULN-06</v>
      </c>
      <c r="B65" s="323" t="str">
        <f>'HECVAT - Full'!B264</f>
        <v>Describe or provide a reference to the tool(s) used to scan for vulnerabilities in your applications and systems.</v>
      </c>
      <c r="C65" s="323"/>
      <c r="D65" s="323" t="str">
        <f>'HECVAT - Full'!C264</f>
        <v xml:space="preserve">We plan to implement external vulnerability scanning by end of Q2 2021 </v>
      </c>
      <c r="E65" s="323"/>
      <c r="F65" s="323"/>
      <c r="H65" s="152" t="str">
        <f t="shared" si="1"/>
        <v>Please rate the vendor's answer</v>
      </c>
    </row>
    <row r="66" spans="1:8" ht="48" customHeight="1" x14ac:dyDescent="0.2">
      <c r="A66" s="139" t="str">
        <f>'HECVAT - Full'!A266</f>
        <v>VULN-08</v>
      </c>
      <c r="B66" s="323" t="str">
        <f>'HECVAT - Full'!B266</f>
        <v>Describe or provide a reference to how you monitor for and protect against common web application security vulnerabilities (e.g. SQL injection, XSS, XSRF, etc.).</v>
      </c>
      <c r="C66" s="323"/>
      <c r="D66" s="323" t="str">
        <f>'HECVAT - Full'!C266</f>
        <v>Our developers follow a security-by-design paradigm, and all code is reviewed by another engineer prior to release. We are also working to implement static code analysis and vulnerability scanning to add an additional layer of protection.</v>
      </c>
      <c r="E66" s="323"/>
      <c r="F66" s="323"/>
      <c r="H66" s="152" t="str">
        <f>IF(G66="","Please rate the vendor's answer","")</f>
        <v>Please rate the vendor's answer</v>
      </c>
    </row>
    <row r="67" spans="1:8" ht="48" customHeight="1" x14ac:dyDescent="0.2">
      <c r="A67" s="153" t="s">
        <v>2093</v>
      </c>
      <c r="B67" s="154" t="str">
        <f>'HECVAT - Full'!C24</f>
        <v>No</v>
      </c>
      <c r="C67" s="155"/>
      <c r="D67" s="155"/>
      <c r="E67" s="155"/>
      <c r="F67" s="155"/>
      <c r="G67" s="153" t="s">
        <v>2064</v>
      </c>
    </row>
    <row r="68" spans="1:8" ht="48" customHeight="1" x14ac:dyDescent="0.2">
      <c r="A68" s="139" t="str">
        <f>'HECVAT - Full'!A291</f>
        <v>HIPA-23</v>
      </c>
      <c r="B68" s="323" t="str">
        <f>'HECVAT - Full'!B291</f>
        <v>How long does the application keep access/change logs?</v>
      </c>
      <c r="C68" s="323"/>
      <c r="D68" s="323">
        <f>'HECVAT - Full'!C291</f>
        <v>0</v>
      </c>
      <c r="E68" s="323"/>
      <c r="F68" s="323"/>
      <c r="H68" s="152" t="str">
        <f>IF(G68="",IF(B67=1,"Please rate the vendor's answer",""),"")</f>
        <v/>
      </c>
    </row>
    <row r="69" spans="1:8" ht="48" customHeight="1" x14ac:dyDescent="0.2">
      <c r="A69" s="153" t="s">
        <v>2089</v>
      </c>
      <c r="B69" s="153" t="str">
        <f>'HECVAT - Full'!C25</f>
        <v>Yes</v>
      </c>
      <c r="C69" s="153"/>
      <c r="D69" s="155"/>
      <c r="E69" s="155"/>
      <c r="F69" s="155"/>
      <c r="G69" s="153" t="s">
        <v>2064</v>
      </c>
    </row>
    <row r="70" spans="1:8" ht="48" customHeight="1" x14ac:dyDescent="0.2">
      <c r="A70" s="139" t="str">
        <f>'HECVAT - Full'!A206</f>
        <v>MAPP-01</v>
      </c>
      <c r="B70" s="322" t="str">
        <f>'HECVAT - Full'!B206</f>
        <v>On which mobile operating systems is your software or service supported?</v>
      </c>
      <c r="C70" s="322"/>
      <c r="D70" s="323" t="str">
        <f>'HECVAT - Full'!C206</f>
        <v>iOS 11.0 and up, Android 5.0 and up</v>
      </c>
      <c r="E70" s="323"/>
      <c r="F70" s="323"/>
      <c r="H70" s="152" t="str">
        <f t="shared" ref="H70:H71" si="2">IF(G70="",IF(B$69=1,"Please rate the vendor's answer",""),"")</f>
        <v/>
      </c>
    </row>
    <row r="71" spans="1:8" ht="48" customHeight="1" x14ac:dyDescent="0.2">
      <c r="A71" s="139" t="str">
        <f>'HECVAT - Full'!A207</f>
        <v>MAPP-02</v>
      </c>
      <c r="B71" s="322" t="str">
        <f>'HECVAT - Full'!B207</f>
        <v>Describe or provide a reference to the application's architecture and functionality.</v>
      </c>
      <c r="C71" s="322"/>
      <c r="D71" s="323" t="str">
        <f>'HECVAT - Full'!C207</f>
        <v>Please visit https://support.pronto.io to find a series of support articles that describe Pronto's functionality.</v>
      </c>
      <c r="E71" s="323"/>
      <c r="F71" s="323"/>
      <c r="H71" s="152" t="str">
        <f t="shared" si="2"/>
        <v/>
      </c>
    </row>
    <row r="72" spans="1:8" ht="48" customHeight="1" x14ac:dyDescent="0.2">
      <c r="A72" s="139" t="str">
        <f>'HECVAT - Full'!A213</f>
        <v>MAPP-08</v>
      </c>
      <c r="B72" s="322" t="str">
        <f>'HECVAT - Full'!B213</f>
        <v>Will any of these systems be implemented on systems hosting the Institution's data?</v>
      </c>
      <c r="C72" s="322"/>
      <c r="D72" s="323">
        <f>'HECVAT - Full'!C213</f>
        <v>0</v>
      </c>
      <c r="E72" s="323"/>
      <c r="F72" s="323"/>
      <c r="H72" s="152"/>
    </row>
    <row r="73" spans="1:8" ht="48" customHeight="1" x14ac:dyDescent="0.2">
      <c r="A73" s="139" t="str">
        <f>'HECVAT - Full'!A216</f>
        <v>MAPP-11</v>
      </c>
      <c r="B73" s="322" t="str">
        <f>'HECVAT - Full'!B216</f>
        <v>State the party that performed the vulnerability test and the date it was conducted?</v>
      </c>
      <c r="C73" s="322"/>
      <c r="D73" s="323">
        <f>'HECVAT - Full'!C216</f>
        <v>0</v>
      </c>
      <c r="E73" s="323"/>
      <c r="F73" s="323"/>
      <c r="H73" s="152" t="str">
        <f>IF(G73="",IF(B$69=1,"Please rate the vendor's answer",""),"")</f>
        <v/>
      </c>
    </row>
    <row r="74" spans="1:8" ht="48" customHeight="1" x14ac:dyDescent="0.2">
      <c r="A74" s="153" t="s">
        <v>2090</v>
      </c>
      <c r="B74" s="153" t="str">
        <f>'HECVAT - Full'!C26</f>
        <v>Yes</v>
      </c>
      <c r="C74" s="153"/>
      <c r="D74" s="155"/>
      <c r="E74" s="155"/>
      <c r="F74" s="155"/>
      <c r="G74" s="153" t="s">
        <v>2064</v>
      </c>
    </row>
    <row r="75" spans="1:8" ht="48" customHeight="1" x14ac:dyDescent="0.2">
      <c r="A75" s="139" t="str">
        <f>'HECVAT - Full'!A47</f>
        <v>THRD-01</v>
      </c>
      <c r="B75" s="322"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322"/>
      <c r="D75" s="323" t="str">
        <f>'HECVAT - Full'!C47</f>
        <v>We perform an annual risk-assessment review of vendors where we evaluate service-level agreements, security measures, and audit results. If necessary we follow-up directly with the vendor with specific security questions to ensure they meet appropriate standards.</v>
      </c>
      <c r="E75" s="323"/>
      <c r="F75" s="323"/>
      <c r="H75" s="152" t="str">
        <f t="shared" ref="H75" si="3">IF(G75="",IF(B$74=1,"Please rate the vendor's answer",""),"")</f>
        <v/>
      </c>
    </row>
    <row r="76" spans="1:8" ht="48" customHeight="1" x14ac:dyDescent="0.2">
      <c r="A76" s="139" t="str">
        <f>'HECVAT - Full'!A48</f>
        <v>THRD-02</v>
      </c>
      <c r="B76" s="322" t="str">
        <f>'HECVAT - Full'!B48</f>
        <v>Provide a brief description for why each of these third parties will have access to institution data.</v>
      </c>
      <c r="C76" s="322"/>
      <c r="D76" s="323" t="str">
        <f>'HECVAT - Full'!C48</f>
        <v>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v>
      </c>
      <c r="E76" s="323"/>
      <c r="F76" s="323"/>
      <c r="H76" s="152" t="str">
        <f>IF(G76="",IF(B$74=1,"Please rate the vendor's answer",""),"")</f>
        <v/>
      </c>
    </row>
    <row r="77" spans="1:8" ht="48" customHeight="1" x14ac:dyDescent="0.2">
      <c r="A77" s="139" t="str">
        <f>'HECVAT - Full'!A49</f>
        <v>THRD-03</v>
      </c>
      <c r="B77" s="322" t="str">
        <f>'HECVAT - Full'!B49</f>
        <v>What legal agreements (i.e. contracts) do you have in place with these third parties that address liability in the event of a data breach?</v>
      </c>
      <c r="C77" s="322"/>
      <c r="D77" s="323" t="str">
        <f>'HECVAT - Full'!C49</f>
        <v>Amazon Web Services, Inc. - https://aws.amazon.com/agreement/
Pusher Ltd. - https://pusher.com/legal
Twilio, Inc - https://www.twilio.com/legal/tos
Nexmo Inc (dba Vonage) - https://www.vonage.com/legal/unified-communications/enterprise/tos/</v>
      </c>
      <c r="E77" s="323"/>
      <c r="F77" s="323"/>
      <c r="H77" s="152" t="str">
        <f t="shared" ref="H77:H78" si="4">IF(G77="",IF(B$74=1,"Please rate the vendor's answer",""),"")</f>
        <v/>
      </c>
    </row>
    <row r="78" spans="1:8" ht="48" customHeight="1" x14ac:dyDescent="0.2">
      <c r="A78" s="139" t="str">
        <f>'HECVAT - Full'!A50</f>
        <v>THRD-04</v>
      </c>
      <c r="B78" s="322" t="str">
        <f>'HECVAT - Full'!B50</f>
        <v>Describe or provide references to your third party management strategy or provide additional information that may help analysts better understand your environment and how it relates to third-party solutions.</v>
      </c>
      <c r="C78" s="322"/>
      <c r="D78" s="323" t="str">
        <f>'HECVAT - Full'!C50</f>
        <v>When evaluating third party vendors with whom will be shared institutional data, Hit Labs seeks reputable partners that express a deep concern for information security and couple that with a reputation and track record that matches.</v>
      </c>
      <c r="E78" s="323"/>
      <c r="F78" s="323"/>
      <c r="H78" s="152" t="str">
        <f t="shared" si="4"/>
        <v/>
      </c>
    </row>
    <row r="79" spans="1:8" ht="48" customHeight="1" x14ac:dyDescent="0.2">
      <c r="A79" s="153" t="s">
        <v>2091</v>
      </c>
      <c r="B79" s="153" t="str">
        <f>'HECVAT - Full'!C27</f>
        <v>Yes</v>
      </c>
      <c r="C79" s="153"/>
      <c r="D79" s="155"/>
      <c r="E79" s="155"/>
      <c r="F79" s="155"/>
      <c r="G79" s="153" t="s">
        <v>2064</v>
      </c>
    </row>
    <row r="80" spans="1:8" ht="48" customHeight="1" x14ac:dyDescent="0.2">
      <c r="A80" s="139" t="str">
        <f>'HECVAT - Full'!A98</f>
        <v>BCPL-01</v>
      </c>
      <c r="B80" s="322" t="str">
        <f>'HECVAT - Full'!B98</f>
        <v>Describe or provide a reference to your Business Continuity Plan (BCP).</v>
      </c>
      <c r="C80" s="322"/>
      <c r="D80" s="323" t="str">
        <f>'HECVAT - Full'!C98</f>
        <v>Please see the Business Continuity and Disaster Recovery Plan</v>
      </c>
      <c r="E80" s="323"/>
      <c r="F80" s="323"/>
      <c r="H80" s="152" t="str">
        <f>IF(G80="",IF(B$79=1,"Please rate the vendor's answer",""),"")</f>
        <v/>
      </c>
    </row>
    <row r="81" spans="1:8" ht="48" customHeight="1" x14ac:dyDescent="0.2">
      <c r="A81" s="153" t="s">
        <v>2094</v>
      </c>
      <c r="B81" s="153" t="str">
        <f>'HECVAT - Full'!C30</f>
        <v>No</v>
      </c>
      <c r="C81" s="153"/>
      <c r="D81" s="155"/>
      <c r="E81" s="155"/>
      <c r="F81" s="155"/>
      <c r="G81" s="153" t="s">
        <v>2064</v>
      </c>
    </row>
    <row r="82" spans="1:8" ht="48" customHeight="1" x14ac:dyDescent="0.2">
      <c r="A82" s="139" t="str">
        <f>'HECVAT - Full'!A179</f>
        <v>DRPL-01</v>
      </c>
      <c r="B82" s="322" t="str">
        <f>'HECVAT - Full'!B179</f>
        <v>Describe or provide a reference to your Disaster Recovery Plan (DRP).</v>
      </c>
      <c r="C82" s="322"/>
      <c r="D82" s="323" t="str">
        <f>'HECVAT - Full'!C179</f>
        <v>Please see the Business Continuity and Disaster Recovery Plan</v>
      </c>
      <c r="E82" s="323"/>
      <c r="F82" s="323"/>
      <c r="H82" s="152" t="str">
        <f>IF(G82="",IF(B$81=1,"Please rate the vendor's answer",""),"")</f>
        <v/>
      </c>
    </row>
    <row r="83" spans="1:8" ht="48" customHeight="1" x14ac:dyDescent="0.2">
      <c r="A83" s="139" t="str">
        <f>'HECVAT - Full'!A187</f>
        <v>DRPL-09</v>
      </c>
      <c r="B83" s="322" t="str">
        <f>'HECVAT - Full'!B187</f>
        <v>Describe or provide a reference to how your disaster recovery plan is tested? (i.e. scope of DR tests, end-to-end testing, etc.)</v>
      </c>
      <c r="C83" s="322"/>
      <c r="D83" s="323" t="str">
        <f>'HECVAT - Full'!C187</f>
        <v xml:space="preserve">Please see the Business Continuity and Disaster Recovery Plan	</v>
      </c>
      <c r="E83" s="323"/>
      <c r="F83" s="323"/>
      <c r="H83" s="152" t="str">
        <f>IF(G83="",IF(B$81=1,"Please rate the vendor's answer",""),"")</f>
        <v/>
      </c>
    </row>
    <row r="84" spans="1:8" ht="48" customHeight="1" x14ac:dyDescent="0.2">
      <c r="A84" s="153" t="s">
        <v>2092</v>
      </c>
      <c r="B84" s="153" t="str">
        <f>'HECVAT - Full'!C29</f>
        <v>No</v>
      </c>
      <c r="C84" s="153"/>
      <c r="D84" s="155"/>
      <c r="E84" s="155"/>
      <c r="F84" s="155"/>
      <c r="G84" s="153" t="s">
        <v>2064</v>
      </c>
    </row>
    <row r="85" spans="1:8" ht="48" customHeight="1" x14ac:dyDescent="0.2">
      <c r="A85" s="139" t="str">
        <f>'HECVAT - Full'!A306</f>
        <v>PCID-06</v>
      </c>
      <c r="B85" s="322" t="str">
        <f>'HECVAT - Full'!B306</f>
        <v>Are you classified as a merchant?  If so, what level (1, 2, 3, 4)?</v>
      </c>
      <c r="C85" s="322"/>
      <c r="D85" s="323">
        <f>'HECVAT - Full'!C306</f>
        <v>0</v>
      </c>
      <c r="E85" s="323"/>
      <c r="F85" s="323"/>
      <c r="H85" s="152" t="str">
        <f>IF(G85="",IF(B$84=1,"Please rate the vendor's answer",""),"")</f>
        <v/>
      </c>
    </row>
    <row r="86" spans="1:8" ht="48" customHeight="1" x14ac:dyDescent="0.2">
      <c r="A86" s="139" t="str">
        <f>'HECVAT - Full'!A307</f>
        <v>PCID-07</v>
      </c>
      <c r="B86" s="322" t="str">
        <f>'HECVAT - Full'!B307</f>
        <v>Describe the architecture employed by the system to verify and authorize credit card transactions.</v>
      </c>
      <c r="C86" s="322"/>
      <c r="D86" s="323">
        <f>'HECVAT - Full'!C307</f>
        <v>0</v>
      </c>
      <c r="E86" s="323"/>
      <c r="F86" s="323"/>
      <c r="H86" s="152" t="str">
        <f t="shared" ref="H86:H88" si="5">IF(G86="",IF(B$84=1,"Please rate the vendor's answer",""),"")</f>
        <v/>
      </c>
    </row>
    <row r="87" spans="1:8" ht="48" customHeight="1" x14ac:dyDescent="0.2">
      <c r="A87" s="139" t="str">
        <f>'HECVAT - Full'!A308</f>
        <v>PCID-08</v>
      </c>
      <c r="B87" s="322" t="str">
        <f>'HECVAT - Full'!B308</f>
        <v xml:space="preserve">What payment processors/gateways does the system support? </v>
      </c>
      <c r="C87" s="322"/>
      <c r="D87" s="323">
        <f>'HECVAT - Full'!C308</f>
        <v>0</v>
      </c>
      <c r="E87" s="323"/>
      <c r="F87" s="323"/>
      <c r="H87" s="152" t="str">
        <f t="shared" si="5"/>
        <v/>
      </c>
    </row>
    <row r="88" spans="1:8" ht="48" customHeight="1" x14ac:dyDescent="0.2">
      <c r="A88" s="139" t="str">
        <f>'HECVAT - Full'!A312</f>
        <v>PCID-12</v>
      </c>
      <c r="B88" s="322" t="str">
        <f>'HECVAT - Full'!B312</f>
        <v xml:space="preserve">Include documentation describing the systems' abilities to comply with the PCI DSS and any features or capabilities of the system that must be added or changed in order to operate in compliance with the standards. </v>
      </c>
      <c r="C88" s="322"/>
      <c r="D88" s="323">
        <f>'HECVAT - Full'!C312</f>
        <v>0</v>
      </c>
      <c r="E88" s="323"/>
      <c r="F88" s="323"/>
      <c r="H88" s="152" t="str">
        <f t="shared" si="5"/>
        <v/>
      </c>
    </row>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8:C8"/>
    <mergeCell ref="F5:H5"/>
    <mergeCell ref="F6:H6"/>
    <mergeCell ref="F7:H7"/>
    <mergeCell ref="F8:H8"/>
    <mergeCell ref="D10:H10"/>
    <mergeCell ref="A2:H2"/>
    <mergeCell ref="A1:G1"/>
    <mergeCell ref="B6:C6"/>
    <mergeCell ref="B5:C5"/>
    <mergeCell ref="B7:C7"/>
    <mergeCell ref="A3:H3"/>
    <mergeCell ref="A4:H4"/>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topLeftCell="A21" workbookViewId="0">
      <selection activeCell="C27" sqref="C27"/>
    </sheetView>
  </sheetViews>
  <sheetFormatPr baseColWidth="10" defaultColWidth="6.625" defaultRowHeight="16" x14ac:dyDescent="0.15"/>
  <cols>
    <col min="1" max="1" width="11.125" style="134" customWidth="1"/>
    <col min="2" max="2" width="56.75" style="3" customWidth="1"/>
    <col min="3" max="3" width="40.75" style="24" customWidth="1"/>
    <col min="4" max="4" width="40.75" style="5" customWidth="1"/>
    <col min="5" max="255" width="6.625" style="3" customWidth="1"/>
    <col min="256" max="16384" width="6.625" style="134"/>
  </cols>
  <sheetData>
    <row r="1" spans="1:4" ht="36" customHeight="1" x14ac:dyDescent="0.15">
      <c r="A1" s="332" t="s">
        <v>2982</v>
      </c>
      <c r="B1" s="332"/>
      <c r="C1" s="332"/>
      <c r="D1" s="332"/>
    </row>
    <row r="2" spans="1:4" ht="26" customHeight="1" x14ac:dyDescent="0.15">
      <c r="A2" s="291" t="s">
        <v>95</v>
      </c>
      <c r="B2" s="291"/>
      <c r="C2" s="291"/>
      <c r="D2" s="291"/>
    </row>
    <row r="3" spans="1:4" ht="2" customHeight="1" x14ac:dyDescent="0.15">
      <c r="A3" s="22"/>
      <c r="B3" s="252"/>
      <c r="C3" s="253"/>
      <c r="D3" s="253"/>
    </row>
    <row r="4" spans="1:4" ht="2" customHeight="1" x14ac:dyDescent="0.15">
      <c r="A4" s="254"/>
      <c r="B4" s="254"/>
      <c r="C4" s="255"/>
      <c r="D4" s="256"/>
    </row>
    <row r="5" spans="1:4" ht="2" customHeight="1" x14ac:dyDescent="0.15">
      <c r="A5" s="257"/>
      <c r="B5" s="257"/>
      <c r="C5" s="257"/>
      <c r="D5" s="257"/>
    </row>
    <row r="6" spans="1:4" ht="2" customHeight="1" x14ac:dyDescent="0.15">
      <c r="A6" s="258"/>
      <c r="B6" s="258"/>
      <c r="C6" s="258"/>
      <c r="D6" s="258"/>
    </row>
    <row r="7" spans="1:4" ht="2" customHeight="1" x14ac:dyDescent="0.15">
      <c r="A7" s="190"/>
      <c r="B7" s="259"/>
      <c r="C7" s="260"/>
      <c r="D7" s="260"/>
    </row>
    <row r="8" spans="1:4" ht="2" customHeight="1" x14ac:dyDescent="0.15">
      <c r="A8" s="190"/>
      <c r="B8" s="259"/>
      <c r="C8" s="260"/>
      <c r="D8" s="260"/>
    </row>
    <row r="9" spans="1:4" ht="2" customHeight="1" x14ac:dyDescent="0.15">
      <c r="A9" s="190"/>
      <c r="B9" s="259"/>
      <c r="C9" s="260"/>
      <c r="D9" s="260"/>
    </row>
    <row r="10" spans="1:4" ht="2" customHeight="1" x14ac:dyDescent="0.15">
      <c r="A10" s="190"/>
      <c r="B10" s="259"/>
      <c r="C10" s="260"/>
      <c r="D10" s="260"/>
    </row>
    <row r="11" spans="1:4" ht="2" customHeight="1" x14ac:dyDescent="0.15">
      <c r="A11" s="190"/>
      <c r="B11" s="259"/>
      <c r="C11" s="260"/>
      <c r="D11" s="260"/>
    </row>
    <row r="12" spans="1:4" ht="2" customHeight="1" x14ac:dyDescent="0.15">
      <c r="A12" s="190"/>
      <c r="B12" s="259"/>
      <c r="C12" s="260"/>
      <c r="D12" s="260"/>
    </row>
    <row r="13" spans="1:4" ht="2" customHeight="1" x14ac:dyDescent="0.15">
      <c r="A13" s="190"/>
      <c r="B13" s="259"/>
      <c r="C13" s="260"/>
      <c r="D13" s="260"/>
    </row>
    <row r="14" spans="1:4" ht="2" customHeight="1" x14ac:dyDescent="0.15">
      <c r="A14" s="190"/>
      <c r="B14" s="259"/>
      <c r="C14" s="260"/>
      <c r="D14" s="260"/>
    </row>
    <row r="15" spans="1:4" ht="2" customHeight="1" x14ac:dyDescent="0.15">
      <c r="A15" s="190"/>
      <c r="B15" s="259"/>
      <c r="C15" s="260"/>
      <c r="D15" s="260"/>
    </row>
    <row r="16" spans="1:4" ht="2" customHeight="1" x14ac:dyDescent="0.15">
      <c r="A16" s="190"/>
      <c r="B16" s="259"/>
      <c r="C16" s="260"/>
      <c r="D16" s="260"/>
    </row>
    <row r="17" spans="1:4" ht="2" customHeight="1" x14ac:dyDescent="0.15">
      <c r="A17" s="258"/>
      <c r="B17" s="258"/>
      <c r="C17" s="258"/>
      <c r="D17" s="258"/>
    </row>
    <row r="18" spans="1:4" ht="2" customHeight="1" x14ac:dyDescent="0.15">
      <c r="A18" s="190"/>
      <c r="B18" s="259"/>
      <c r="C18" s="260"/>
      <c r="D18" s="260"/>
    </row>
    <row r="19" spans="1:4" ht="2" customHeight="1" x14ac:dyDescent="0.15">
      <c r="A19" s="190"/>
      <c r="B19" s="259"/>
      <c r="C19" s="261"/>
      <c r="D19" s="261"/>
    </row>
    <row r="20" spans="1:4" ht="36" customHeight="1" x14ac:dyDescent="0.15">
      <c r="A20" s="341" t="s">
        <v>10</v>
      </c>
      <c r="B20" s="341"/>
      <c r="C20" s="234"/>
      <c r="D20" s="235"/>
    </row>
    <row r="21" spans="1:4" ht="186" customHeight="1" x14ac:dyDescent="0.15">
      <c r="A21" s="342" t="s">
        <v>2669</v>
      </c>
      <c r="B21" s="342"/>
      <c r="C21" s="342"/>
      <c r="D21" s="342"/>
    </row>
    <row r="22" spans="1:4" ht="37.25" customHeight="1" x14ac:dyDescent="0.15">
      <c r="A22" s="341" t="s">
        <v>11</v>
      </c>
      <c r="B22" s="341"/>
      <c r="C22" s="234" t="s">
        <v>2670</v>
      </c>
      <c r="D22" s="234" t="s">
        <v>2671</v>
      </c>
    </row>
    <row r="23" spans="1:4" ht="56" customHeight="1" x14ac:dyDescent="0.15">
      <c r="A23" s="342" t="s">
        <v>2672</v>
      </c>
      <c r="B23" s="342"/>
      <c r="C23" s="342"/>
      <c r="D23" s="342"/>
    </row>
    <row r="24" spans="1:4" ht="55" customHeight="1" x14ac:dyDescent="0.15">
      <c r="A24" s="236" t="str">
        <f>'HECVAT - Full'!A24</f>
        <v>QUAL-01</v>
      </c>
      <c r="B24" s="236" t="str">
        <f>VLOOKUP(A24,'HECVAT - Full'!A$24:B$312,2,FALSE)</f>
        <v>Does your product process protected health information (PHI) or any data covered by the Health Insurance Portability and Accountability Act?</v>
      </c>
      <c r="C24" s="237" t="s">
        <v>2673</v>
      </c>
      <c r="D24" s="238" t="s">
        <v>2674</v>
      </c>
    </row>
    <row r="25" spans="1:4" ht="90" x14ac:dyDescent="0.15">
      <c r="A25" s="236" t="str">
        <f>'HECVAT - Full'!A25</f>
        <v>QUAL-02</v>
      </c>
      <c r="B25" s="236" t="str">
        <f>VLOOKUP(A25,'HECVAT - Full'!A$24:B$312,2,FALSE)</f>
        <v>Does the vended product host/support a mobile application? (e.g. app)</v>
      </c>
      <c r="C25" s="265" t="s">
        <v>2996</v>
      </c>
      <c r="D25" s="267" t="s">
        <v>2995</v>
      </c>
    </row>
    <row r="26" spans="1:4" ht="84" customHeight="1" x14ac:dyDescent="0.15">
      <c r="A26" s="236" t="str">
        <f>'HECVAT - Full'!A26</f>
        <v>QUAL-03</v>
      </c>
      <c r="B26" s="236" t="str">
        <f>VLOOKUP(A26,'HECVAT - Full'!A$24:B$312,2,FALSE)</f>
        <v>Will institution data be shared with or hosted by any third parties? (e.g. any entity not wholly-owned by your company is considered a third-party)</v>
      </c>
      <c r="C26" s="265" t="s">
        <v>2997</v>
      </c>
      <c r="D26" s="238" t="s">
        <v>2675</v>
      </c>
    </row>
    <row r="27" spans="1:4" ht="64" customHeight="1" x14ac:dyDescent="0.15">
      <c r="A27" s="236" t="str">
        <f>'HECVAT - Full'!A27</f>
        <v>QUAL-04</v>
      </c>
      <c r="B27" s="236" t="str">
        <f>VLOOKUP(A27,'HECVAT - Full'!A$24:B$312,2,FALSE)</f>
        <v>Do you have a Business Continuity Plan (BCP)?</v>
      </c>
      <c r="C27" s="237" t="s">
        <v>2676</v>
      </c>
      <c r="D27" s="238" t="s">
        <v>2677</v>
      </c>
    </row>
    <row r="28" spans="1:4" ht="64" customHeight="1" x14ac:dyDescent="0.15">
      <c r="A28" s="236" t="str">
        <f>'HECVAT - Full'!A28</f>
        <v>QUAL-05</v>
      </c>
      <c r="B28" s="236" t="str">
        <f>VLOOKUP(A28,'HECVAT - Full'!A$24:B$312,2,FALSE)</f>
        <v>Do you have a Disaster Recovery Plan (DRP)?</v>
      </c>
      <c r="C28" s="237" t="s">
        <v>2678</v>
      </c>
      <c r="D28" s="238" t="s">
        <v>2679</v>
      </c>
    </row>
    <row r="29" spans="1:4" ht="54" customHeight="1" x14ac:dyDescent="0.15">
      <c r="A29" s="236" t="str">
        <f>'HECVAT - Full'!A29</f>
        <v>QUAL-06</v>
      </c>
      <c r="B29" s="236" t="str">
        <f>VLOOKUP(A29,'HECVAT - Full'!A$24:B$312,2,FALSE)</f>
        <v>Will data regulated by PCI DSS reside in the vended product?</v>
      </c>
      <c r="C29" s="237" t="s">
        <v>2680</v>
      </c>
      <c r="D29" s="238" t="s">
        <v>2681</v>
      </c>
    </row>
    <row r="30" spans="1:4" ht="112" customHeight="1" x14ac:dyDescent="0.15">
      <c r="A30" s="236" t="str">
        <f>'HECVAT - Full'!A30</f>
        <v>QUAL-07</v>
      </c>
      <c r="B30" s="236" t="str">
        <f>VLOOKUP(A30,'HECVAT - Full'!A$24:B$312,2,FALSE)</f>
        <v>Is your company a consulting firm providing only consultation to the Institution?</v>
      </c>
      <c r="C30" s="265" t="s">
        <v>2998</v>
      </c>
      <c r="D30" s="238" t="s">
        <v>2682</v>
      </c>
    </row>
    <row r="31" spans="1:4" ht="36" customHeight="1" x14ac:dyDescent="0.15">
      <c r="A31" s="341" t="s">
        <v>17</v>
      </c>
      <c r="B31" s="341"/>
      <c r="C31" s="234" t="str">
        <f>$C$22</f>
        <v>Reason for Question</v>
      </c>
      <c r="D31" s="234" t="str">
        <f>$D$22</f>
        <v>Follow-up Inquiries/Responses</v>
      </c>
    </row>
    <row r="32" spans="1:4" ht="48" customHeight="1" x14ac:dyDescent="0.15">
      <c r="A32" s="236" t="str">
        <f>'HECVAT - Full'!A32</f>
        <v>DOCU-01</v>
      </c>
      <c r="B32" s="236" t="str">
        <f>VLOOKUP(A32,'HECVAT - Full'!A$24:B$312,2,FALSE)</f>
        <v>Have you undergone a SSAE 18 audit?</v>
      </c>
      <c r="C32" s="239" t="s">
        <v>2683</v>
      </c>
      <c r="D32" s="240" t="s">
        <v>2684</v>
      </c>
    </row>
    <row r="33" spans="1:4" ht="64" customHeight="1" x14ac:dyDescent="0.15">
      <c r="A33" s="236" t="str">
        <f>'HECVAT - Full'!A33</f>
        <v>DOCU-02</v>
      </c>
      <c r="B33" s="236" t="str">
        <f>VLOOKUP(A33,'HECVAT - Full'!A$24:B$312,2,FALSE)</f>
        <v>Have you completed the Cloud Security Alliance (CSA) self assessment or CAIQ?</v>
      </c>
      <c r="C33" s="239" t="s">
        <v>2685</v>
      </c>
      <c r="D33" s="240" t="s">
        <v>2686</v>
      </c>
    </row>
    <row r="34" spans="1:4" ht="64" customHeight="1" x14ac:dyDescent="0.15">
      <c r="A34" s="236" t="str">
        <f>'HECVAT - Full'!A34</f>
        <v>DOCU-03</v>
      </c>
      <c r="B34" s="236" t="str">
        <f>VLOOKUP(A34,'HECVAT - Full'!A$24:B$312,2,FALSE)</f>
        <v>Have you received the Cloud Security Alliance STAR certification?</v>
      </c>
      <c r="C34" s="239" t="s">
        <v>2687</v>
      </c>
      <c r="D34" s="268" t="s">
        <v>2999</v>
      </c>
    </row>
    <row r="35" spans="1:4" ht="112" customHeight="1" x14ac:dyDescent="0.15">
      <c r="A35" s="236" t="str">
        <f>'HECVAT - Full'!A35</f>
        <v>DOCU-04</v>
      </c>
      <c r="B35" s="236" t="str">
        <f>VLOOKUP(A35,'HECVAT - Full'!A$24:B$312,2,FALSE)</f>
        <v>Do you conform with a specific industry standard security framework? (e.g. NIST Cybersecurity Framework, ISO 27001, etc.)</v>
      </c>
      <c r="C35" s="239" t="s">
        <v>2688</v>
      </c>
      <c r="D35" s="241" t="s">
        <v>2689</v>
      </c>
    </row>
    <row r="36" spans="1:4" ht="48" customHeight="1" x14ac:dyDescent="0.15">
      <c r="A36" s="236" t="str">
        <f>'HECVAT - Full'!A36</f>
        <v>DOCU-05</v>
      </c>
      <c r="B36" s="236" t="str">
        <f>VLOOKUP(A36,'HECVAT - Full'!A$24:B$312,2,FALSE)</f>
        <v>Are you compliant with FISMA standards?</v>
      </c>
      <c r="C36" s="239" t="s">
        <v>2690</v>
      </c>
      <c r="D36" s="240" t="s">
        <v>2691</v>
      </c>
    </row>
    <row r="37" spans="1:4" ht="96" customHeight="1" x14ac:dyDescent="0.15">
      <c r="A37" s="236" t="str">
        <f>'HECVAT - Full'!A37</f>
        <v>DOCU-06</v>
      </c>
      <c r="B37" s="236" t="str">
        <f>VLOOKUP(A37,'HECVAT - Full'!A$24:B$312,2,FALSE)</f>
        <v>Does your organization have a data privacy policy?</v>
      </c>
      <c r="C37" s="269" t="s">
        <v>3000</v>
      </c>
      <c r="D37" s="242" t="s">
        <v>2692</v>
      </c>
    </row>
    <row r="38" spans="1:4" ht="36" customHeight="1" x14ac:dyDescent="0.15">
      <c r="A38" s="341" t="s">
        <v>151</v>
      </c>
      <c r="B38" s="341"/>
      <c r="C38" s="234" t="str">
        <f>$C$22</f>
        <v>Reason for Question</v>
      </c>
      <c r="D38" s="234" t="str">
        <f>$D$22</f>
        <v>Follow-up Inquiries/Responses</v>
      </c>
    </row>
    <row r="39" spans="1:4" ht="64" customHeight="1" x14ac:dyDescent="0.15">
      <c r="A39" s="236" t="str">
        <f>'HECVAT - Full'!A39</f>
        <v>COMP-01</v>
      </c>
      <c r="B39" s="236" t="str">
        <f>VLOOKUP(A39,'HECVAT - Full'!A$24:B$312,2,FALSE)</f>
        <v>Describe your organization’s business background and ownership structure, including all parent and subsidiary relationships.</v>
      </c>
      <c r="C39" s="239" t="s">
        <v>2693</v>
      </c>
      <c r="D39" s="239" t="s">
        <v>2694</v>
      </c>
    </row>
    <row r="40" spans="1:4" ht="84" customHeight="1" x14ac:dyDescent="0.15">
      <c r="A40" s="236" t="str">
        <f>'HECVAT - Full'!A40</f>
        <v>COMP-02</v>
      </c>
      <c r="B40" s="236" t="str">
        <f>VLOOKUP(A40,'HECVAT - Full'!A$24:B$312,2,FALSE)</f>
        <v>Describe how long your organization has conducted business in this product area.</v>
      </c>
      <c r="C40" s="239" t="s">
        <v>2695</v>
      </c>
      <c r="D40" s="269" t="s">
        <v>3001</v>
      </c>
    </row>
    <row r="41" spans="1:4" ht="96" customHeight="1" x14ac:dyDescent="0.15">
      <c r="A41" s="236" t="str">
        <f>'HECVAT - Full'!A41</f>
        <v>COMP-03</v>
      </c>
      <c r="B41" s="236" t="str">
        <f>VLOOKUP(A41,'HECVAT - Full'!A$24:B$312,2,FALSE)</f>
        <v>Do you have existing higher education customers?</v>
      </c>
      <c r="C41" s="239" t="s">
        <v>2696</v>
      </c>
      <c r="D41" s="243" t="s">
        <v>2697</v>
      </c>
    </row>
    <row r="42" spans="1:4" ht="84" customHeight="1" x14ac:dyDescent="0.15">
      <c r="A42" s="236" t="str">
        <f>'HECVAT - Full'!A42</f>
        <v>COMP-04</v>
      </c>
      <c r="B42" s="236" t="str">
        <f>VLOOKUP(A42,'HECVAT - Full'!A$24:B$312,2,FALSE)</f>
        <v>Have you had a significant breach in the last 5 years?</v>
      </c>
      <c r="C42" s="239" t="s">
        <v>2698</v>
      </c>
      <c r="D42" s="243" t="s">
        <v>2699</v>
      </c>
    </row>
    <row r="43" spans="1:4" ht="124" customHeight="1" x14ac:dyDescent="0.15">
      <c r="A43" s="236" t="str">
        <f>'HECVAT - Full'!A43</f>
        <v>COMP-05</v>
      </c>
      <c r="B43" s="236" t="str">
        <f>VLOOKUP(A43,'HECVAT - Full'!A$24:B$312,2,FALSE)</f>
        <v>Do you have a dedicated Information Security staff or office?</v>
      </c>
      <c r="C43" s="239" t="s">
        <v>2700</v>
      </c>
      <c r="D43" s="243" t="s">
        <v>2701</v>
      </c>
    </row>
    <row r="44" spans="1:4" ht="112" customHeight="1" x14ac:dyDescent="0.15">
      <c r="A44" s="236" t="str">
        <f>'HECVAT - Full'!A44</f>
        <v>COMP-06</v>
      </c>
      <c r="B44" s="236" t="str">
        <f>VLOOKUP(A44,'HECVAT - Full'!A$24:B$312,2,FALSE)</f>
        <v>Do you have a dedicated Software and System Development team(s)? (e.g. Customer Support, Implementation, Product Management, etc.)</v>
      </c>
      <c r="C44" s="239" t="s">
        <v>2702</v>
      </c>
      <c r="D44" s="244" t="s">
        <v>2703</v>
      </c>
    </row>
    <row r="45" spans="1:4" ht="112" customHeight="1" x14ac:dyDescent="0.15">
      <c r="A45" s="236" t="str">
        <f>'HECVAT - Full'!A45</f>
        <v>COMP-07</v>
      </c>
      <c r="B45" s="236" t="str">
        <f>VLOOKUP(A45,'HECVAT - Full'!A$24:B$312,2,FALSE)</f>
        <v>Use this area to share information about your environment that will assist those who are assessing your company data security program.</v>
      </c>
      <c r="C45" s="269" t="s">
        <v>3002</v>
      </c>
      <c r="D45" s="239" t="s">
        <v>2704</v>
      </c>
    </row>
    <row r="46" spans="1:4" ht="36" customHeight="1" x14ac:dyDescent="0.15">
      <c r="A46" s="341" t="str">
        <f>IF($C$26="No","Third Parties - Optional based on QUALIFIER response.","Third Parties")</f>
        <v>Third Parties</v>
      </c>
      <c r="B46" s="341"/>
      <c r="C46" s="234" t="str">
        <f>$C$22</f>
        <v>Reason for Question</v>
      </c>
      <c r="D46" s="234" t="str">
        <f>$D$22</f>
        <v>Follow-up Inquiries/Responses</v>
      </c>
    </row>
    <row r="47" spans="1:4" ht="96" customHeight="1" x14ac:dyDescent="0.15">
      <c r="A47" s="236" t="str">
        <f>'HECVAT - Full'!A47</f>
        <v>THRD-01</v>
      </c>
      <c r="B47" s="236"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265" t="s">
        <v>3003</v>
      </c>
      <c r="D47" s="237" t="s">
        <v>2705</v>
      </c>
    </row>
    <row r="48" spans="1:4" ht="80" customHeight="1" x14ac:dyDescent="0.15">
      <c r="A48" s="236" t="str">
        <f>'HECVAT - Full'!A48</f>
        <v>THRD-02</v>
      </c>
      <c r="B48" s="236" t="str">
        <f>VLOOKUP(A48,'HECVAT - Full'!A$24:B$312,2,FALSE)</f>
        <v>Provide a brief description for why each of these third parties will have access to institution data.</v>
      </c>
      <c r="C48" s="237" t="s">
        <v>2706</v>
      </c>
      <c r="D48" s="237" t="s">
        <v>2705</v>
      </c>
    </row>
    <row r="49" spans="1:255" ht="80" customHeight="1" x14ac:dyDescent="0.15">
      <c r="A49" s="236" t="str">
        <f>'HECVAT - Full'!A49</f>
        <v>THRD-03</v>
      </c>
      <c r="B49" s="236" t="str">
        <f>VLOOKUP(A49,'HECVAT - Full'!A$24:B$312,2,FALSE)</f>
        <v>What legal agreements (i.e. contracts) do you have in place with these third parties that address liability in the event of a data breach?</v>
      </c>
      <c r="C49" s="237" t="s">
        <v>2707</v>
      </c>
      <c r="D49" s="237" t="s">
        <v>2708</v>
      </c>
    </row>
    <row r="50" spans="1:255" ht="80" customHeight="1" x14ac:dyDescent="0.15">
      <c r="A50" s="236" t="str">
        <f>'HECVAT - Full'!A50</f>
        <v>THRD-04</v>
      </c>
      <c r="B50" s="236" t="str">
        <f>VLOOKUP(A50,'HECVAT - Full'!A$24:B$312,2,FALSE)</f>
        <v>Describe or provide references to your third party management strategy or provide additional information that may help analysts better understand your environment and how it relates to third-party solutions.</v>
      </c>
      <c r="C50" s="237" t="s">
        <v>2709</v>
      </c>
      <c r="D50" s="237" t="s">
        <v>2710</v>
      </c>
    </row>
    <row r="51" spans="1:255" ht="36" customHeight="1" x14ac:dyDescent="0.15">
      <c r="A51" s="341" t="str">
        <f>IF($C$30="","Consulting",IF($C$30="Yes","Consulting - All questions after this section are OPTIONAL.","Consulting - Optional based on QUALIFIER response."))</f>
        <v>Consulting - Optional based on QUALIFIER response.</v>
      </c>
      <c r="B51" s="341"/>
      <c r="C51" s="234" t="str">
        <f>$C$22</f>
        <v>Reason for Question</v>
      </c>
      <c r="D51" s="234" t="str">
        <f>$D$22</f>
        <v>Follow-up Inquiries/Responses</v>
      </c>
    </row>
    <row r="52" spans="1:255" ht="150" x14ac:dyDescent="0.15">
      <c r="A52" s="236" t="str">
        <f>'HECVAT - Full'!A52</f>
        <v>CONS-01</v>
      </c>
      <c r="B52" s="236" t="str">
        <f>VLOOKUP(A52,'HECVAT - Full'!A$24:B$312,2,FALSE)</f>
        <v>Will the consulting take place on-premises?</v>
      </c>
      <c r="C52" s="270" t="s">
        <v>3004</v>
      </c>
      <c r="D52" s="246" t="s">
        <v>2711</v>
      </c>
    </row>
    <row r="53" spans="1:255" ht="180" x14ac:dyDescent="0.15">
      <c r="A53" s="236" t="str">
        <f>'HECVAT - Full'!A53</f>
        <v>CONS-02</v>
      </c>
      <c r="B53" s="236" t="str">
        <f>VLOOKUP(A53,'HECVAT - Full'!A$24:B$312,2,FALSE)</f>
        <v>Will the consultant require access to Institution's network resources?</v>
      </c>
      <c r="C53" s="245" t="s">
        <v>2712</v>
      </c>
      <c r="D53" s="246" t="s">
        <v>2713</v>
      </c>
    </row>
    <row r="54" spans="1:255" ht="120" x14ac:dyDescent="0.15">
      <c r="A54" s="236" t="str">
        <f>'HECVAT - Full'!A54</f>
        <v>CONS-03</v>
      </c>
      <c r="B54" s="236" t="str">
        <f>VLOOKUP(A54,'HECVAT - Full'!A$24:B$312,2,FALSE)</f>
        <v>Will the consultant require access to hardware in the Institution's data centers?</v>
      </c>
      <c r="C54" s="245" t="s">
        <v>2714</v>
      </c>
      <c r="D54" s="246" t="s">
        <v>2715</v>
      </c>
    </row>
    <row r="55" spans="1:255" ht="105" x14ac:dyDescent="0.15">
      <c r="A55" s="236" t="str">
        <f>'HECVAT - Full'!A55</f>
        <v>CONS-04</v>
      </c>
      <c r="B55" s="236" t="str">
        <f>VLOOKUP(A55,'HECVAT - Full'!A$24:B$312,2,FALSE)</f>
        <v>Will the consultant require an account within the Institution's domain (@*.edu)?</v>
      </c>
      <c r="C55" s="245" t="s">
        <v>2716</v>
      </c>
      <c r="D55" s="246" t="s">
        <v>2717</v>
      </c>
    </row>
    <row r="56" spans="1:255" ht="135" x14ac:dyDescent="0.15">
      <c r="A56" s="236" t="str">
        <f>'HECVAT - Full'!A56</f>
        <v>CONS-05</v>
      </c>
      <c r="B56" s="236" t="str">
        <f>VLOOKUP(A56,'HECVAT - Full'!A$24:B$312,2,FALSE)</f>
        <v>Has the consultant received training on [sensitive, HIPAA, PCI, etc.] data handling?</v>
      </c>
      <c r="C56" s="245" t="s">
        <v>2718</v>
      </c>
      <c r="D56" s="246" t="s">
        <v>2719</v>
      </c>
    </row>
    <row r="57" spans="1:255" ht="150" x14ac:dyDescent="0.15">
      <c r="A57" s="236" t="str">
        <f>'HECVAT - Full'!A57</f>
        <v>CONS-06</v>
      </c>
      <c r="B57" s="236" t="str">
        <f>VLOOKUP(A57,'HECVAT - Full'!A$24:B$312,2,FALSE)</f>
        <v>Will any data be transferred to the consultant's possession?</v>
      </c>
      <c r="C57" s="270" t="s">
        <v>3005</v>
      </c>
      <c r="D57" s="271" t="s">
        <v>3006</v>
      </c>
    </row>
    <row r="58" spans="1:255" s="1" customFormat="1" ht="60" x14ac:dyDescent="0.2">
      <c r="A58" s="236" t="str">
        <f>'HECVAT - Full'!A58</f>
        <v>CONS-07</v>
      </c>
      <c r="B58" s="236" t="str">
        <f>VLOOKUP(A58,'HECVAT - Full'!A$24:B$312,2,FALSE)</f>
        <v>Is it encrypted (at rest) while in the consultant's possession?</v>
      </c>
      <c r="C58" s="239" t="s">
        <v>2720</v>
      </c>
      <c r="D58" s="244" t="s">
        <v>2721</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105" x14ac:dyDescent="0.15">
      <c r="A59" s="236" t="str">
        <f>'HECVAT - Full'!A59</f>
        <v>CONS-08</v>
      </c>
      <c r="B59" s="236" t="str">
        <f>VLOOKUP(A59,'HECVAT - Full'!A$24:B$312,2,FALSE)</f>
        <v>Will the consultant need remote access to the Institution's network or systems?</v>
      </c>
      <c r="C59" s="239" t="s">
        <v>2722</v>
      </c>
      <c r="D59" s="243" t="s">
        <v>2723</v>
      </c>
    </row>
    <row r="60" spans="1:255" s="1" customFormat="1" ht="105" x14ac:dyDescent="0.2">
      <c r="A60" s="236" t="str">
        <f>'HECVAT - Full'!A60</f>
        <v>CONS-09</v>
      </c>
      <c r="B60" s="236" t="str">
        <f>VLOOKUP(A60,'HECVAT - Full'!A$24:B$312,2,FALSE)</f>
        <v>Can we restrict that access based on source IP address?</v>
      </c>
      <c r="C60" s="245" t="s">
        <v>2724</v>
      </c>
      <c r="D60" s="246" t="s">
        <v>2725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x14ac:dyDescent="0.15">
      <c r="A61" s="341" t="str">
        <f>IF($C$30="","Application/Service Security",IF($C$30="Yes","App/Service Security - Optional based on QUALIFIER response.","Application/Service Security"))</f>
        <v>Application/Service Security</v>
      </c>
      <c r="B61" s="341"/>
      <c r="C61" s="234" t="str">
        <f>$C$22</f>
        <v>Reason for Question</v>
      </c>
      <c r="D61" s="234" t="str">
        <f>$D$22</f>
        <v>Follow-up Inquiries/Responses</v>
      </c>
    </row>
    <row r="62" spans="1:255" ht="120" x14ac:dyDescent="0.15">
      <c r="A62" s="236" t="str">
        <f>'HECVAT - Full'!A62</f>
        <v>APPL-01</v>
      </c>
      <c r="B62" s="236" t="str">
        <f>VLOOKUP(A62,'HECVAT - Full'!A$24:B$312,2,FALSE)</f>
        <v>Do you support role-based access control (RBAC) for end-users?</v>
      </c>
      <c r="C62" s="269" t="s">
        <v>3007</v>
      </c>
      <c r="D62" s="242" t="s">
        <v>2726</v>
      </c>
    </row>
    <row r="63" spans="1:255" ht="112" customHeight="1" x14ac:dyDescent="0.15">
      <c r="A63" s="236" t="str">
        <f>'HECVAT - Full'!A63</f>
        <v>APPL-02</v>
      </c>
      <c r="B63" s="236" t="str">
        <f>VLOOKUP(A63,'HECVAT - Full'!A$24:B$312,2,FALSE)</f>
        <v>Do you support role-based access control (RBAC) for system administrators?</v>
      </c>
      <c r="C63" s="269" t="s">
        <v>3057</v>
      </c>
      <c r="D63" s="242" t="s">
        <v>2727</v>
      </c>
    </row>
    <row r="64" spans="1:255" ht="112" customHeight="1" x14ac:dyDescent="0.15">
      <c r="A64" s="236" t="str">
        <f>'HECVAT - Full'!A64</f>
        <v>APPL-03</v>
      </c>
      <c r="B64" s="236" t="str">
        <f>VLOOKUP(A64,'HECVAT - Full'!A$24:B$312,2,FALSE)</f>
        <v>Can employees access customer data remotely?</v>
      </c>
      <c r="C64" s="239" t="s">
        <v>2722</v>
      </c>
      <c r="D64" s="243" t="s">
        <v>2723</v>
      </c>
    </row>
    <row r="65" spans="1:255" ht="112" customHeight="1" x14ac:dyDescent="0.15">
      <c r="A65" s="236" t="str">
        <f>'HECVAT - Full'!A65</f>
        <v>APPL-04</v>
      </c>
      <c r="B65" s="236" t="str">
        <f>VLOOKUP(A65,'HECVAT - Full'!A$24:B$312,2,FALSE)</f>
        <v>Can you provide overall system and/or application architecture diagrams including a full description of the data communications architecture for all components of the system?</v>
      </c>
      <c r="C65" s="239" t="s">
        <v>2728</v>
      </c>
      <c r="D65" s="272" t="s">
        <v>3008</v>
      </c>
    </row>
    <row r="66" spans="1:255" ht="112" customHeight="1" x14ac:dyDescent="0.15">
      <c r="A66" s="236" t="str">
        <f>'HECVAT - Full'!A66</f>
        <v>APPL-05</v>
      </c>
      <c r="B66" s="236" t="str">
        <f>VLOOKUP(A66,'HECVAT - Full'!A$24:B$312,2,FALSE)</f>
        <v xml:space="preserve">Does the system provide data input validation and error messages? </v>
      </c>
      <c r="C66" s="239" t="s">
        <v>2729</v>
      </c>
      <c r="D66" s="244" t="s">
        <v>2730</v>
      </c>
    </row>
    <row r="67" spans="1:255" ht="136" customHeight="1" x14ac:dyDescent="0.15">
      <c r="A67" s="236" t="str">
        <f>'HECVAT - Full'!A67</f>
        <v>APPL-06</v>
      </c>
      <c r="B67" s="236" t="str">
        <f>VLOOKUP(A67,'HECVAT - Full'!A$24:B$312,2,FALSE)</f>
        <v xml:space="preserve">Do you employ a single-tenant environment? </v>
      </c>
      <c r="C67" s="239" t="s">
        <v>2731</v>
      </c>
      <c r="D67" s="273" t="s">
        <v>3009</v>
      </c>
    </row>
    <row r="68" spans="1:255" s="1" customFormat="1" ht="91.5" customHeight="1" x14ac:dyDescent="0.2">
      <c r="A68" s="236" t="str">
        <f>'HECVAT - Full'!A68</f>
        <v>APPL-07</v>
      </c>
      <c r="B68" s="236" t="str">
        <f>VLOOKUP(A68,'HECVAT - Full'!A$24:B$312,2,FALSE)</f>
        <v>What operating system(s) is/are leveraged by the system(s)/application(s) that will have access to institution's data?</v>
      </c>
      <c r="C68" s="237" t="s">
        <v>2732</v>
      </c>
      <c r="D68" s="237" t="s">
        <v>2733</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x14ac:dyDescent="0.15">
      <c r="A69" s="236" t="str">
        <f>'HECVAT - Full'!A69</f>
        <v>APPL-08</v>
      </c>
      <c r="B69" s="236" t="str">
        <f>VLOOKUP(A69,'HECVAT - Full'!A$24:B$312,2,FALSE)</f>
        <v>Have you or any third party you contract with that may have access or allow access to the institution's data experienced a breach?</v>
      </c>
      <c r="C69" s="239" t="s">
        <v>2698</v>
      </c>
      <c r="D69" s="243" t="s">
        <v>2699</v>
      </c>
    </row>
    <row r="70" spans="1:255" ht="120" x14ac:dyDescent="0.15">
      <c r="A70" s="236" t="str">
        <f>'HECVAT - Full'!A70</f>
        <v>APPL-09</v>
      </c>
      <c r="B70" s="236" t="str">
        <f>VLOOKUP(A70,'HECVAT - Full'!A$24:B$312,2,FALSE)</f>
        <v xml:space="preserve">Describe or provide a reference to additional software/products necessary to implement a functional system on either the backend or user-interface side of the system. </v>
      </c>
      <c r="C70" s="274" t="s">
        <v>3049</v>
      </c>
      <c r="D70" s="237" t="s">
        <v>2734</v>
      </c>
    </row>
    <row r="71" spans="1:255" ht="105" x14ac:dyDescent="0.15">
      <c r="A71" s="236" t="str">
        <f>'HECVAT - Full'!A71</f>
        <v>APPL-10</v>
      </c>
      <c r="B71" s="236"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37" t="s">
        <v>2735</v>
      </c>
      <c r="D71" s="274" t="s">
        <v>3050</v>
      </c>
    </row>
    <row r="72" spans="1:255" ht="67.5" customHeight="1" x14ac:dyDescent="0.15">
      <c r="A72" s="236" t="str">
        <f>'HECVAT - Full'!A72</f>
        <v>APPL-11</v>
      </c>
      <c r="B72" s="236" t="str">
        <f>VLOOKUP(A72,'HECVAT - Full'!A$24:B$312,2,FALSE)</f>
        <v>Are databases used in the system segregated from front-end systems? (e.g. web and application servers)</v>
      </c>
      <c r="C72" s="237" t="s">
        <v>2736</v>
      </c>
      <c r="D72" s="247" t="s">
        <v>2737</v>
      </c>
    </row>
    <row r="73" spans="1:255" ht="114.75" customHeight="1" x14ac:dyDescent="0.15">
      <c r="A73" s="236" t="str">
        <f>'HECVAT - Full'!A73</f>
        <v>APPL-12</v>
      </c>
      <c r="B73" s="236" t="str">
        <f>VLOOKUP(A73,'HECVAT - Full'!A$24:B$312,2,FALSE)</f>
        <v xml:space="preserve">Describe or provide a reference to all web-enabled features and functionality of the system (i.e. accessed via a web-based interface). </v>
      </c>
      <c r="C73" s="274" t="s">
        <v>3051</v>
      </c>
      <c r="D73" s="237" t="s">
        <v>2738</v>
      </c>
    </row>
    <row r="74" spans="1:255" ht="64.5" customHeight="1" x14ac:dyDescent="0.15">
      <c r="A74" s="236" t="str">
        <f>'HECVAT - Full'!A74</f>
        <v>APPL-13</v>
      </c>
      <c r="B74" s="236" t="str">
        <f>VLOOKUP(A74,'HECVAT - Full'!A$24:B$312,2,FALSE)</f>
        <v>Are there any OS and/or web-browser combinations that are not currently supported?</v>
      </c>
      <c r="C74" s="265" t="s">
        <v>3010</v>
      </c>
      <c r="D74" s="247" t="s">
        <v>2739</v>
      </c>
    </row>
    <row r="75" spans="1:255" ht="63" customHeight="1" x14ac:dyDescent="0.15">
      <c r="A75" s="236" t="str">
        <f>'HECVAT - Full'!A75</f>
        <v>APPL-14</v>
      </c>
      <c r="B75" s="236" t="str">
        <f>VLOOKUP(A75,'HECVAT - Full'!A$24:B$312,2,FALSE)</f>
        <v xml:space="preserve">Can your system take advantage of mobile and/or GPS enabled mobile devices?  </v>
      </c>
      <c r="C75" s="237" t="s">
        <v>2740</v>
      </c>
      <c r="D75" s="247" t="s">
        <v>2741</v>
      </c>
    </row>
    <row r="76" spans="1:255" ht="135" x14ac:dyDescent="0.15">
      <c r="A76" s="236" t="str">
        <f>'HECVAT - Full'!A76</f>
        <v>APPL-15</v>
      </c>
      <c r="B76" s="236" t="str">
        <f>VLOOKUP(A76,'HECVAT - Full'!A$24:B$312,2,FALSE)</f>
        <v>Describe or provide a reference to the facilities available in the system to provide separation of duties between security administration and system administration functions.</v>
      </c>
      <c r="C76" s="269" t="s">
        <v>3052</v>
      </c>
      <c r="D76" s="242" t="s">
        <v>2727</v>
      </c>
    </row>
    <row r="77" spans="1:255" ht="105" x14ac:dyDescent="0.15">
      <c r="A77" s="236" t="str">
        <f>'HECVAT - Full'!A77</f>
        <v>APPL-16</v>
      </c>
      <c r="B77" s="236" t="str">
        <f>VLOOKUP(A77,'HECVAT - Full'!A$24:B$312,2,FALSE)</f>
        <v>Describe or provide a reference that details how administrator access is handled (e.g. provisioning, principle of least privilege, deprovisioning, etc.)</v>
      </c>
      <c r="C77" s="237" t="s">
        <v>2742</v>
      </c>
      <c r="D77" s="247" t="s">
        <v>2743</v>
      </c>
    </row>
    <row r="78" spans="1:255" ht="65" customHeight="1" x14ac:dyDescent="0.15">
      <c r="A78" s="236" t="str">
        <f>'HECVAT - Full'!A78</f>
        <v>APPL-17</v>
      </c>
      <c r="B78" s="236" t="str">
        <f>VLOOKUP(A78,'HECVAT - Full'!A$24:B$312,2,FALSE)</f>
        <v>Describe or provide references explaining how tertiary services are redundant (i.e. DNS, ISP, etc.).</v>
      </c>
      <c r="C78" s="237" t="s">
        <v>2744</v>
      </c>
      <c r="D78" s="237" t="s">
        <v>2745</v>
      </c>
    </row>
    <row r="79" spans="1:255" ht="36" customHeight="1" x14ac:dyDescent="0.15">
      <c r="A79" s="341" t="str">
        <f>IF($C$30="","Authentication, Authorization, and Accounting",IF($C$30="Yes","AAA - Optional based on QUALIFIER response.","Authentication, Authorization, and Accounting"))</f>
        <v>Authentication, Authorization, and Accounting</v>
      </c>
      <c r="B79" s="341"/>
      <c r="C79" s="234" t="str">
        <f>$C$22</f>
        <v>Reason for Question</v>
      </c>
      <c r="D79" s="234" t="str">
        <f>$D$22</f>
        <v>Follow-up Inquiries/Responses</v>
      </c>
    </row>
    <row r="80" spans="1:255" ht="112" customHeight="1" x14ac:dyDescent="0.15">
      <c r="A80" s="236" t="str">
        <f>'HECVAT - Full'!A80</f>
        <v>AAAI-01</v>
      </c>
      <c r="B80" s="236" t="str">
        <f>VLOOKUP(A80,'HECVAT - Full'!A$24:B$312,2,FALSE)</f>
        <v>Can you enforce password/passphrase aging requirements?</v>
      </c>
      <c r="C80" s="239" t="s">
        <v>2746</v>
      </c>
      <c r="D80" s="244" t="s">
        <v>2747</v>
      </c>
    </row>
    <row r="81" spans="1:4" ht="60" x14ac:dyDescent="0.15">
      <c r="A81" s="236" t="str">
        <f>'HECVAT - Full'!A81</f>
        <v>AAAI-02</v>
      </c>
      <c r="B81" s="236" t="str">
        <f>VLOOKUP(A81,'HECVAT - Full'!A$24:B$312,2,FALSE)</f>
        <v>Can you enforce password/passphrase complexity requirements [provided by the institution]?</v>
      </c>
      <c r="C81" s="237" t="s">
        <v>2748</v>
      </c>
      <c r="D81" s="247" t="s">
        <v>2749</v>
      </c>
    </row>
    <row r="82" spans="1:4" ht="60" x14ac:dyDescent="0.15">
      <c r="A82" s="236" t="str">
        <f>'HECVAT - Full'!A82</f>
        <v>AAAI-03</v>
      </c>
      <c r="B82" s="236" t="str">
        <f>VLOOKUP(A82,'HECVAT - Full'!A$24:B$312,2,FALSE)</f>
        <v>Does the system have password complexity or length limitations and/or restrictions?</v>
      </c>
      <c r="C82" s="237" t="s">
        <v>2748</v>
      </c>
      <c r="D82" s="247" t="s">
        <v>2750</v>
      </c>
    </row>
    <row r="83" spans="1:4" ht="60" x14ac:dyDescent="0.15">
      <c r="A83" s="236" t="str">
        <f>'HECVAT - Full'!A83</f>
        <v>AAAI-04</v>
      </c>
      <c r="B83" s="236" t="str">
        <f>VLOOKUP(A83,'HECVAT - Full'!A$24:B$312,2,FALSE)</f>
        <v>Do you have documented password/passphrase reset procedures that are currently implemented in the system and/or customer support?</v>
      </c>
      <c r="C83" s="237" t="s">
        <v>2751</v>
      </c>
      <c r="D83" s="248" t="s">
        <v>2752</v>
      </c>
    </row>
    <row r="84" spans="1:4" ht="112" customHeight="1" x14ac:dyDescent="0.15">
      <c r="A84" s="236" t="str">
        <f>'HECVAT - Full'!A84</f>
        <v>AAAI-05</v>
      </c>
      <c r="B84" s="236" t="str">
        <f>VLOOKUP(A84,'HECVAT - Full'!A$24:B$312,2,FALSE)</f>
        <v>Does your web-based interface support authentication, including standards-based single-sign-on? (e.g. InCommon)</v>
      </c>
      <c r="C84" s="269" t="s">
        <v>3011</v>
      </c>
      <c r="D84" s="239" t="s">
        <v>2753</v>
      </c>
    </row>
    <row r="85" spans="1:4" ht="75" x14ac:dyDescent="0.15">
      <c r="A85" s="236" t="str">
        <f>'HECVAT - Full'!A85</f>
        <v>AAAI-06</v>
      </c>
      <c r="B85" s="236" t="str">
        <f>VLOOKUP(A85,'HECVAT - Full'!A$24:B$312,2,FALSE)</f>
        <v>Are there any passwords/passphrases hard coded into your systems or products?</v>
      </c>
      <c r="C85" s="237" t="s">
        <v>2754</v>
      </c>
      <c r="D85" s="247" t="s">
        <v>2755</v>
      </c>
    </row>
    <row r="86" spans="1:4" ht="75" x14ac:dyDescent="0.15">
      <c r="A86" s="236" t="str">
        <f>'HECVAT - Full'!A86</f>
        <v>AAAI-07</v>
      </c>
      <c r="B86" s="236" t="str">
        <f>VLOOKUP(A86,'HECVAT - Full'!A$24:B$312,2,FALSE)</f>
        <v>Are user account passwords/passphrases visible in administration modules?</v>
      </c>
      <c r="C86" s="237" t="s">
        <v>2756</v>
      </c>
      <c r="D86" s="247" t="s">
        <v>2757</v>
      </c>
    </row>
    <row r="87" spans="1:4" ht="45" x14ac:dyDescent="0.15">
      <c r="A87" s="236" t="str">
        <f>'HECVAT - Full'!A87</f>
        <v>AAAI-08</v>
      </c>
      <c r="B87" s="236" t="str">
        <f>VLOOKUP(A87,'HECVAT - Full'!A$24:B$312,2,FALSE)</f>
        <v>Are user account passwords/passphrases stored encrypted?</v>
      </c>
      <c r="C87" s="237" t="s">
        <v>2758</v>
      </c>
      <c r="D87" s="31" t="s">
        <v>3012</v>
      </c>
    </row>
    <row r="88" spans="1:4" ht="62.25" customHeight="1" x14ac:dyDescent="0.15">
      <c r="A88" s="236" t="str">
        <f>'HECVAT - Full'!A88</f>
        <v>AAAI-09</v>
      </c>
      <c r="B88" s="236" t="str">
        <f>VLOOKUP(A88,'HECVAT - Full'!A$24:B$312,2,FALSE)</f>
        <v>Does your application and/or user-frontend/portal support multi-factor authentication? (e.g. Duo, Google Authenticator, OTP, etc.)</v>
      </c>
      <c r="C88" s="237" t="s">
        <v>2759</v>
      </c>
      <c r="D88" s="247" t="s">
        <v>2760</v>
      </c>
    </row>
    <row r="89" spans="1:4" ht="84" customHeight="1" x14ac:dyDescent="0.15">
      <c r="A89" s="236" t="str">
        <f>'HECVAT - Full'!A89</f>
        <v>AAAI-10</v>
      </c>
      <c r="B89" s="236" t="str">
        <f>VLOOKUP(A89,'HECVAT - Full'!A$24:B$312,2,FALSE)</f>
        <v>Does your application support integration with other authentication and authorization systems?  List which ones (such as Active Directory, Kerberos and what version) in Additional Info?</v>
      </c>
      <c r="C89" s="269" t="s">
        <v>3011</v>
      </c>
      <c r="D89" s="239" t="s">
        <v>2761</v>
      </c>
    </row>
    <row r="90" spans="1:4" ht="75" x14ac:dyDescent="0.15">
      <c r="A90" s="236" t="str">
        <f>'HECVAT - Full'!A90</f>
        <v>AAAI-11</v>
      </c>
      <c r="B90" s="236" t="str">
        <f>VLOOKUP(A90,'HECVAT - Full'!A$24:B$312,2,FALSE)</f>
        <v>Will any external authentication or authorization system be utilized by an application with access to the institution's data?</v>
      </c>
      <c r="C90" s="247" t="s">
        <v>2762</v>
      </c>
      <c r="D90" s="247" t="s">
        <v>2763</v>
      </c>
    </row>
    <row r="91" spans="1:4" ht="96" customHeight="1" x14ac:dyDescent="0.15">
      <c r="A91" s="236" t="str">
        <f>'HECVAT - Full'!A91</f>
        <v>AAAI-12</v>
      </c>
      <c r="B91" s="236" t="str">
        <f>VLOOKUP(A91,'HECVAT - Full'!A$24:B$312,2,FALSE)</f>
        <v>Does the system (servers/infrastructure) support external authentication services (e.g. Active Directory, LDAP) in place of local authentication?</v>
      </c>
      <c r="C91" s="269" t="s">
        <v>3013</v>
      </c>
      <c r="D91" s="273" t="s">
        <v>3053</v>
      </c>
    </row>
    <row r="92" spans="1:4" ht="63.75" customHeight="1" x14ac:dyDescent="0.15">
      <c r="A92" s="236" t="str">
        <f>'HECVAT - Full'!A92</f>
        <v>AAAI-13</v>
      </c>
      <c r="B92" s="236" t="str">
        <f>VLOOKUP(A92,'HECVAT - Full'!A$24:B$312,2,FALSE)</f>
        <v>Does the system operate in a mixed authentication mode (i.e. external and local authentication)?</v>
      </c>
      <c r="C92" s="247" t="s">
        <v>2764</v>
      </c>
      <c r="D92" s="247" t="s">
        <v>2765</v>
      </c>
    </row>
    <row r="93" spans="1:4" ht="63" customHeight="1" x14ac:dyDescent="0.15">
      <c r="A93" s="236" t="str">
        <f>'HECVAT - Full'!A93</f>
        <v>AAAI-14</v>
      </c>
      <c r="B93" s="236" t="str">
        <f>VLOOKUP(A93,'HECVAT - Full'!A$24:B$312,2,FALSE)</f>
        <v>Will any external authentication or authorization system be utilized by a system with access to institution data?</v>
      </c>
      <c r="C93" s="247" t="s">
        <v>2764</v>
      </c>
      <c r="D93" s="247" t="s">
        <v>2765</v>
      </c>
    </row>
    <row r="94" spans="1:4" ht="96" customHeight="1" x14ac:dyDescent="0.15">
      <c r="A94" s="236" t="str">
        <f>'HECVAT - Full'!A94</f>
        <v>AAAI-15</v>
      </c>
      <c r="B94" s="236" t="str">
        <f>VLOOKUP(A94,'HECVAT - Full'!A$24:B$312,2,FALSE)</f>
        <v>Are audit logs available that include AT LEAST all of the following; login, logout, actions performed, and source IP address?</v>
      </c>
      <c r="C94" s="239" t="s">
        <v>2766</v>
      </c>
      <c r="D94" s="243" t="s">
        <v>2767</v>
      </c>
    </row>
    <row r="95" spans="1:4" ht="120" x14ac:dyDescent="0.15">
      <c r="A95" s="236" t="str">
        <f>'HECVAT - Full'!A95</f>
        <v>AAAI-16</v>
      </c>
      <c r="B95" s="236"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269" t="s">
        <v>3054</v>
      </c>
      <c r="D95" s="243" t="s">
        <v>2767</v>
      </c>
    </row>
    <row r="96" spans="1:4" ht="89.25" customHeight="1" x14ac:dyDescent="0.15">
      <c r="A96" s="236" t="str">
        <f>'HECVAT - Full'!A96</f>
        <v>AAAI-17</v>
      </c>
      <c r="B96" s="236" t="str">
        <f>VLOOKUP(A96,'HECVAT - Full'!A$24:B$312,2,FALSE)</f>
        <v>Describe or provide a reference to the retention period for those logs, how logs are protected, and whether they are accessible to the customer (and if so, how).</v>
      </c>
      <c r="C96" s="237" t="s">
        <v>2768</v>
      </c>
      <c r="D96" s="244" t="s">
        <v>2769</v>
      </c>
    </row>
    <row r="97" spans="1:4" ht="36" customHeight="1" x14ac:dyDescent="0.15">
      <c r="A97" s="341" t="str">
        <f>IF(OR($C$27="No",$C$30="Yes"),"BCP - Respond to as many questions below as possible.","Business Continuity Plan")</f>
        <v>Business Continuity Plan</v>
      </c>
      <c r="B97" s="341"/>
      <c r="C97" s="234" t="str">
        <f>$C$22</f>
        <v>Reason for Question</v>
      </c>
      <c r="D97" s="234" t="str">
        <f>$D$22</f>
        <v>Follow-up Inquiries/Responses</v>
      </c>
    </row>
    <row r="98" spans="1:4" ht="120" x14ac:dyDescent="0.15">
      <c r="A98" s="236" t="str">
        <f>'HECVAT - Full'!A98</f>
        <v>BCPL-01</v>
      </c>
      <c r="B98" s="236" t="str">
        <f>VLOOKUP(A98,'HECVAT - Full'!A$24:B$312,2,FALSE)</f>
        <v>Describe or provide a reference to your Business Continuity Plan (BCP).</v>
      </c>
      <c r="C98" s="269" t="s">
        <v>3014</v>
      </c>
      <c r="D98" s="243" t="s">
        <v>2770</v>
      </c>
    </row>
    <row r="99" spans="1:4" ht="47" customHeight="1" x14ac:dyDescent="0.15">
      <c r="A99" s="236" t="str">
        <f>'HECVAT - Full'!A99</f>
        <v>BCPL-02</v>
      </c>
      <c r="B99" s="236" t="str">
        <f>VLOOKUP(A99,'HECVAT - Full'!A$24:B$312,2,FALSE)</f>
        <v>May the Institution review your BCP and supporting documentation?</v>
      </c>
      <c r="C99" s="265" t="s">
        <v>3015</v>
      </c>
      <c r="D99" s="247" t="s">
        <v>2771</v>
      </c>
    </row>
    <row r="100" spans="1:4" ht="60" x14ac:dyDescent="0.15">
      <c r="A100" s="236" t="str">
        <f>'HECVAT - Full'!A100</f>
        <v>BCPL-03</v>
      </c>
      <c r="B100" s="236" t="str">
        <f>VLOOKUP(A100,'HECVAT - Full'!A$24:B$312,2,FALSE)</f>
        <v>Is an owner assigned who is responsible for the maintenance and review of the Business Continuity Plan?</v>
      </c>
      <c r="C100" s="265" t="s">
        <v>3016</v>
      </c>
      <c r="D100" s="244" t="s">
        <v>2772</v>
      </c>
    </row>
    <row r="101" spans="1:4" ht="60" x14ac:dyDescent="0.15">
      <c r="A101" s="236" t="str">
        <f>'HECVAT - Full'!A101</f>
        <v>BCPL-04</v>
      </c>
      <c r="B101" s="236" t="str">
        <f>VLOOKUP(A101,'HECVAT - Full'!A$24:B$312,2,FALSE)</f>
        <v>Is there a defined problem/issue escalation plan in your BCP for impacted clients?</v>
      </c>
      <c r="C101" s="239" t="s">
        <v>2773</v>
      </c>
      <c r="D101" s="243" t="s">
        <v>2774</v>
      </c>
    </row>
    <row r="102" spans="1:4" ht="64" customHeight="1" x14ac:dyDescent="0.15">
      <c r="A102" s="236" t="str">
        <f>'HECVAT - Full'!A102</f>
        <v>BCPL-05</v>
      </c>
      <c r="B102" s="236" t="str">
        <f>VLOOKUP(A102,'HECVAT - Full'!A$24:B$312,2,FALSE)</f>
        <v>Is there a documented communication plan in your BCP for impacted clients?</v>
      </c>
      <c r="C102" s="239" t="s">
        <v>2773</v>
      </c>
      <c r="D102" s="243" t="s">
        <v>2774</v>
      </c>
    </row>
    <row r="103" spans="1:4" ht="96" customHeight="1" x14ac:dyDescent="0.15">
      <c r="A103" s="236" t="str">
        <f>'HECVAT - Full'!A103</f>
        <v>BCPL-06</v>
      </c>
      <c r="B103" s="236" t="str">
        <f>VLOOKUP(A103,'HECVAT - Full'!A$24:B$312,2,FALSE)</f>
        <v xml:space="preserve">Are all components of the BCP reviewed at least annually and updated as needed to reflect change? </v>
      </c>
      <c r="C103" s="239" t="s">
        <v>2775</v>
      </c>
      <c r="D103" s="243" t="s">
        <v>2776</v>
      </c>
    </row>
    <row r="104" spans="1:4" ht="60" x14ac:dyDescent="0.15">
      <c r="A104" s="236" t="str">
        <f>'HECVAT - Full'!A104</f>
        <v>BCPL-07</v>
      </c>
      <c r="B104" s="236" t="str">
        <f>VLOOKUP(A104,'HECVAT - Full'!A$24:B$312,2,FALSE)</f>
        <v xml:space="preserve">Has your BCP been tested in the last year? </v>
      </c>
      <c r="C104" s="269" t="s">
        <v>3017</v>
      </c>
      <c r="D104" s="243" t="s">
        <v>2776</v>
      </c>
    </row>
    <row r="105" spans="1:4" ht="75" x14ac:dyDescent="0.15">
      <c r="A105" s="236" t="str">
        <f>'HECVAT - Full'!A105</f>
        <v>BCPL-08</v>
      </c>
      <c r="B105" s="236" t="str">
        <f>VLOOKUP(A105,'HECVAT - Full'!A$24:B$312,2,FALSE)</f>
        <v>Does your organization conduct training and awareness activities to validate its employees understanding of their roles and responsibilities during a crisis?</v>
      </c>
      <c r="C105" s="265" t="s">
        <v>3018</v>
      </c>
      <c r="D105" s="247" t="s">
        <v>2777</v>
      </c>
    </row>
    <row r="106" spans="1:4" ht="90" x14ac:dyDescent="0.15">
      <c r="A106" s="236" t="str">
        <f>'HECVAT - Full'!A106</f>
        <v>BCPL-09</v>
      </c>
      <c r="B106" s="236" t="str">
        <f>VLOOKUP(A106,'HECVAT - Full'!A$24:B$312,2,FALSE)</f>
        <v>Are specific crisis management roles and responsibilities defined and documented?</v>
      </c>
      <c r="C106" s="237" t="s">
        <v>2778</v>
      </c>
      <c r="D106" s="247" t="s">
        <v>2779</v>
      </c>
    </row>
    <row r="107" spans="1:4" ht="90" x14ac:dyDescent="0.15">
      <c r="A107" s="236" t="str">
        <f>'HECVAT - Full'!A107</f>
        <v>BCPL-10</v>
      </c>
      <c r="B107" s="236" t="str">
        <f>VLOOKUP(A107,'HECVAT - Full'!A$24:B$312,2,FALSE)</f>
        <v>Does your organization have an alternative business site or a contracted Business Recovery provider?</v>
      </c>
      <c r="C107" s="237" t="s">
        <v>2780</v>
      </c>
      <c r="D107" s="247" t="s">
        <v>2781</v>
      </c>
    </row>
    <row r="108" spans="1:4" ht="75" x14ac:dyDescent="0.15">
      <c r="A108" s="236" t="str">
        <f>'HECVAT - Full'!A108</f>
        <v>BCPL-11</v>
      </c>
      <c r="B108" s="236" t="str">
        <f>VLOOKUP(A108,'HECVAT - Full'!A$24:B$312,2,FALSE)</f>
        <v>Does your organization conduct an annual test of relocating to an alternate site for business recovery purposes?</v>
      </c>
      <c r="C108" s="269" t="s">
        <v>3019</v>
      </c>
      <c r="D108" s="243" t="s">
        <v>2776</v>
      </c>
    </row>
    <row r="109" spans="1:4" ht="90" x14ac:dyDescent="0.15">
      <c r="A109" s="236" t="str">
        <f>'HECVAT - Full'!A109</f>
        <v>BCPL-12</v>
      </c>
      <c r="B109" s="236" t="str">
        <f>VLOOKUP(A109,'HECVAT - Full'!A$24:B$312,2,FALSE)</f>
        <v>Is this product a core service of your organization, and as such, the top priority during business continuity planning?</v>
      </c>
      <c r="C109" s="237" t="s">
        <v>2782</v>
      </c>
      <c r="D109" s="247" t="s">
        <v>2783</v>
      </c>
    </row>
    <row r="110" spans="1:4" ht="36" customHeight="1" x14ac:dyDescent="0.15">
      <c r="A110" s="341" t="str">
        <f>IF($C$30="","Change Management",IF($C$30="Yes","Change Management - Optional based on QUALIFIER response.","Change Management"))</f>
        <v>Change Management</v>
      </c>
      <c r="B110" s="341"/>
      <c r="C110" s="234" t="str">
        <f>$C$22</f>
        <v>Reason for Question</v>
      </c>
      <c r="D110" s="234" t="str">
        <f>$D$22</f>
        <v>Follow-up Inquiries/Responses</v>
      </c>
    </row>
    <row r="111" spans="1:4" ht="75" x14ac:dyDescent="0.15">
      <c r="A111" s="236" t="str">
        <f>'HECVAT - Full'!A111</f>
        <v>CHNG-01</v>
      </c>
      <c r="B111" s="236" t="str">
        <f>VLOOKUP(A111,'HECVAT - Full'!A$24:B$312,2,FALSE)</f>
        <v xml:space="preserve">Do you have a documented and currently followed change management process (CMP)? </v>
      </c>
      <c r="C111" s="239" t="s">
        <v>2784</v>
      </c>
      <c r="D111" s="243" t="s">
        <v>2785</v>
      </c>
    </row>
    <row r="112" spans="1:4" ht="80" customHeight="1" x14ac:dyDescent="0.15">
      <c r="A112" s="236" t="str">
        <f>'HECVAT - Full'!A112</f>
        <v>CHNG-02</v>
      </c>
      <c r="B112" s="236"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237" t="s">
        <v>2786</v>
      </c>
      <c r="D112" s="237" t="s">
        <v>2787</v>
      </c>
    </row>
    <row r="113" spans="1:255" ht="72" customHeight="1" x14ac:dyDescent="0.15">
      <c r="A113" s="236" t="str">
        <f>'HECVAT - Full'!A113</f>
        <v>CHNG-03</v>
      </c>
      <c r="B113" s="236" t="str">
        <f>VLOOKUP(A113,'HECVAT - Full'!A$24:B$312,2,FALSE)</f>
        <v>Will the Institution be notified of major changes to your environment that could impact the Institution's security posture?</v>
      </c>
      <c r="C113" s="239" t="s">
        <v>2788</v>
      </c>
      <c r="D113" s="243" t="s">
        <v>2774</v>
      </c>
    </row>
    <row r="114" spans="1:255" ht="120" x14ac:dyDescent="0.15">
      <c r="A114" s="236" t="str">
        <f>'HECVAT - Full'!A114</f>
        <v>CHNG-04</v>
      </c>
      <c r="B114" s="236" t="str">
        <f>VLOOKUP(A114,'HECVAT - Full'!A$24:B$312,2,FALSE)</f>
        <v>Do clients have the option to not participate in or postpone an upgrade to a new release?</v>
      </c>
      <c r="C114" s="265" t="s">
        <v>3020</v>
      </c>
      <c r="D114" s="237" t="s">
        <v>2789</v>
      </c>
    </row>
    <row r="115" spans="1:255" ht="64.25" customHeight="1" x14ac:dyDescent="0.15">
      <c r="A115" s="236" t="str">
        <f>'HECVAT - Full'!A115</f>
        <v>CHNG-05</v>
      </c>
      <c r="B115" s="236" t="str">
        <f>VLOOKUP(A115,'HECVAT - Full'!A$24:B$312,2,FALSE)</f>
        <v>Describe or provide a reference to your solution support strategy in relation to maintaining software currency. (i.e. how many concurrent versions are you willing to run and support?)</v>
      </c>
      <c r="C115" s="237" t="s">
        <v>2790</v>
      </c>
      <c r="D115" s="237" t="s">
        <v>2791</v>
      </c>
    </row>
    <row r="116" spans="1:255" ht="79.5" customHeight="1" x14ac:dyDescent="0.15">
      <c r="A116" s="236" t="str">
        <f>'HECVAT - Full'!A116</f>
        <v>CHNG-06</v>
      </c>
      <c r="B116" s="236" t="str">
        <f>VLOOKUP(A116,'HECVAT - Full'!A$24:B$312,2,FALSE)</f>
        <v>Identify the most current version of the software. Detail the percentage of live customers that are utilizing the proposed version of the software as well as each version of the software currently in use.</v>
      </c>
      <c r="C116" s="237" t="s">
        <v>2792</v>
      </c>
      <c r="D116" s="237" t="s">
        <v>2791</v>
      </c>
    </row>
    <row r="117" spans="1:255" ht="92.25" customHeight="1" x14ac:dyDescent="0.15">
      <c r="A117" s="236" t="str">
        <f>'HECVAT - Full'!A117</f>
        <v>CHNG-07</v>
      </c>
      <c r="B117" s="236" t="str">
        <f>VLOOKUP(A117,'HECVAT - Full'!A$24:B$312,2,FALSE)</f>
        <v>Does the system support client customizations from one release to another?</v>
      </c>
      <c r="C117" s="237" t="s">
        <v>2793</v>
      </c>
      <c r="D117" s="265" t="s">
        <v>3021</v>
      </c>
    </row>
    <row r="118" spans="1:255" ht="64.25" customHeight="1" x14ac:dyDescent="0.15">
      <c r="A118" s="236" t="str">
        <f>'HECVAT - Full'!A118</f>
        <v>CHNG-08</v>
      </c>
      <c r="B118" s="236"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237" t="s">
        <v>2794</v>
      </c>
      <c r="D118" s="237" t="s">
        <v>2795</v>
      </c>
    </row>
    <row r="119" spans="1:255" ht="64.25" customHeight="1" x14ac:dyDescent="0.15">
      <c r="A119" s="236" t="str">
        <f>'HECVAT - Full'!A119</f>
        <v>CHNG-09</v>
      </c>
      <c r="B119" s="236" t="str">
        <f>VLOOKUP(A119,'HECVAT - Full'!A$24:B$312,2,FALSE)</f>
        <v>Do you have a release schedule for product updates?</v>
      </c>
      <c r="C119" s="237" t="s">
        <v>2796</v>
      </c>
      <c r="D119" s="237" t="s">
        <v>2797</v>
      </c>
    </row>
    <row r="120" spans="1:255" ht="64.25" customHeight="1" x14ac:dyDescent="0.15">
      <c r="A120" s="236" t="str">
        <f>'HECVAT - Full'!A120</f>
        <v>CHNG-10</v>
      </c>
      <c r="B120" s="236" t="str">
        <f>VLOOKUP(A120,'HECVAT - Full'!A$24:B$312,2,FALSE)</f>
        <v>Do you have a technology roadmap, for the next 2 years, for enhancements and bug fixes for the product/service being assessed?</v>
      </c>
      <c r="C120" s="237" t="s">
        <v>2798</v>
      </c>
      <c r="D120" s="237" t="s">
        <v>2799</v>
      </c>
    </row>
    <row r="121" spans="1:255" ht="120" x14ac:dyDescent="0.15">
      <c r="A121" s="236" t="str">
        <f>'HECVAT - Full'!A121</f>
        <v>CHNG-11</v>
      </c>
      <c r="B121" s="236" t="str">
        <f>VLOOKUP(A121,'HECVAT - Full'!A$24:B$312,2,FALSE)</f>
        <v>Is Institution involvement (i.e. technically or organizationally) required during product updates?</v>
      </c>
      <c r="C121" s="265" t="s">
        <v>3022</v>
      </c>
      <c r="D121" s="237" t="s">
        <v>2800</v>
      </c>
    </row>
    <row r="122" spans="1:255" ht="64.25" customHeight="1" x14ac:dyDescent="0.15">
      <c r="A122" s="236" t="str">
        <f>'HECVAT - Full'!A122</f>
        <v>CHNG-12</v>
      </c>
      <c r="B122" s="236" t="str">
        <f>VLOOKUP(A122,'HECVAT - Full'!A$24:B$312,2,FALSE)</f>
        <v>Do you have policy and procedure, currently implemented, managing how critical patches are applied to all systems and applications?</v>
      </c>
      <c r="C122" s="237" t="s">
        <v>2801</v>
      </c>
      <c r="D122" s="237" t="s">
        <v>2802</v>
      </c>
    </row>
    <row r="123" spans="1:255" ht="96" customHeight="1" x14ac:dyDescent="0.15">
      <c r="A123" s="236" t="str">
        <f>'HECVAT - Full'!A123</f>
        <v>CHNG-13</v>
      </c>
      <c r="B123" s="236" t="str">
        <f>VLOOKUP(A123,'HECVAT - Full'!A$24:B$312,2,FALSE)</f>
        <v>Do you have policy and procedure, currently implemented, guiding how security risks are mitigated until patches can be applied?</v>
      </c>
      <c r="C123" s="269" t="s">
        <v>3023</v>
      </c>
      <c r="D123" s="243" t="s">
        <v>2803</v>
      </c>
    </row>
    <row r="124" spans="1:255" ht="73.5" customHeight="1" x14ac:dyDescent="0.15">
      <c r="A124" s="236" t="str">
        <f>'HECVAT - Full'!A124</f>
        <v>CHNG-14</v>
      </c>
      <c r="B124" s="236" t="str">
        <f>VLOOKUP(A124,'HECVAT - Full'!A$24:B$312,2,FALSE)</f>
        <v>Are upgrades or system changes installed during off-peak hours or in a manner that does not impact the customer?</v>
      </c>
      <c r="C124" s="237" t="s">
        <v>2804</v>
      </c>
      <c r="D124" s="237" t="s">
        <v>2787</v>
      </c>
    </row>
    <row r="125" spans="1:255" ht="80" customHeight="1" x14ac:dyDescent="0.15">
      <c r="A125" s="236" t="str">
        <f>'HECVAT - Full'!A125</f>
        <v>CHNG-15</v>
      </c>
      <c r="B125" s="236" t="str">
        <f>VLOOKUP(A125,'HECVAT - Full'!A$24:B$312,2,FALSE)</f>
        <v>Do procedures exist to provide that emergency changes are documented and authorized (including after the fact approval)?</v>
      </c>
      <c r="C125" s="239" t="s">
        <v>2805</v>
      </c>
      <c r="D125" s="239" t="s">
        <v>2806</v>
      </c>
    </row>
    <row r="126" spans="1:255" ht="36" customHeight="1" x14ac:dyDescent="0.2">
      <c r="A126" s="341" t="str">
        <f>IF($C$30="","Data",IF($C$30="Yes","Data - Optional based on QUALIFIER response.","Data"))</f>
        <v>Data</v>
      </c>
      <c r="B126" s="341"/>
      <c r="C126" s="234" t="str">
        <f>$C$22</f>
        <v>Reason for Question</v>
      </c>
      <c r="D126" s="234" t="str">
        <f>$D$22</f>
        <v>Follow-up Inquiries/Responses</v>
      </c>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c r="FW126" s="134"/>
      <c r="FX126" s="134"/>
      <c r="FY126" s="134"/>
      <c r="FZ126" s="134"/>
      <c r="GA126" s="134"/>
      <c r="GB126" s="134"/>
      <c r="GC126" s="134"/>
      <c r="GD126" s="134"/>
      <c r="GE126" s="134"/>
      <c r="GF126" s="134"/>
      <c r="GG126" s="134"/>
      <c r="GH126" s="134"/>
      <c r="GI126" s="134"/>
      <c r="GJ126" s="134"/>
      <c r="GK126" s="134"/>
      <c r="GL126" s="134"/>
      <c r="GM126" s="134"/>
      <c r="GN126" s="134"/>
      <c r="GO126" s="134"/>
      <c r="GP126" s="134"/>
      <c r="GQ126" s="134"/>
      <c r="GR126" s="134"/>
      <c r="GS126" s="134"/>
      <c r="GT126" s="134"/>
      <c r="GU126" s="134"/>
      <c r="GV126" s="134"/>
      <c r="GW126" s="134"/>
      <c r="GX126" s="134"/>
      <c r="GY126" s="134"/>
      <c r="GZ126" s="134"/>
      <c r="HA126" s="134"/>
      <c r="HB126" s="134"/>
      <c r="HC126" s="134"/>
      <c r="HD126" s="134"/>
      <c r="HE126" s="134"/>
      <c r="HF126" s="134"/>
      <c r="HG126" s="134"/>
      <c r="HH126" s="134"/>
      <c r="HI126" s="134"/>
      <c r="HJ126" s="134"/>
      <c r="HK126" s="134"/>
      <c r="HL126" s="134"/>
      <c r="HM126" s="134"/>
      <c r="HN126" s="134"/>
      <c r="HO126" s="134"/>
      <c r="HP126" s="134"/>
      <c r="HQ126" s="134"/>
      <c r="HR126" s="134"/>
      <c r="HS126" s="134"/>
      <c r="HT126" s="134"/>
      <c r="HU126" s="134"/>
      <c r="HV126" s="134"/>
      <c r="HW126" s="134"/>
      <c r="HX126" s="134"/>
      <c r="HY126" s="134"/>
      <c r="HZ126" s="134"/>
      <c r="IA126" s="134"/>
      <c r="IB126" s="134"/>
      <c r="IC126" s="134"/>
      <c r="ID126" s="134"/>
      <c r="IE126" s="134"/>
      <c r="IF126" s="134"/>
      <c r="IG126" s="134"/>
      <c r="IH126" s="134"/>
      <c r="II126" s="134"/>
      <c r="IJ126" s="134"/>
      <c r="IK126" s="134"/>
      <c r="IL126" s="134"/>
      <c r="IM126" s="134"/>
      <c r="IN126" s="134"/>
      <c r="IO126" s="134"/>
      <c r="IP126" s="134"/>
      <c r="IQ126" s="134"/>
      <c r="IR126" s="134"/>
      <c r="IS126" s="134"/>
      <c r="IT126" s="134"/>
      <c r="IU126" s="134"/>
    </row>
    <row r="127" spans="1:255" ht="135" x14ac:dyDescent="0.2">
      <c r="A127" s="236" t="str">
        <f>'HECVAT - Full'!A127</f>
        <v>DATA-01</v>
      </c>
      <c r="B127" s="236" t="str">
        <f>VLOOKUP(A127,'HECVAT - Full'!A$24:B$312,2,FALSE)</f>
        <v>Do you physically and logically separate Institution's data from that of other customers?</v>
      </c>
      <c r="C127" s="239" t="s">
        <v>2731</v>
      </c>
      <c r="D127" s="244" t="s">
        <v>2807</v>
      </c>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c r="FW127" s="134"/>
      <c r="FX127" s="134"/>
      <c r="FY127" s="134"/>
      <c r="FZ127" s="134"/>
      <c r="GA127" s="134"/>
      <c r="GB127" s="134"/>
      <c r="GC127" s="134"/>
      <c r="GD127" s="134"/>
      <c r="GE127" s="134"/>
      <c r="GF127" s="134"/>
      <c r="GG127" s="134"/>
      <c r="GH127" s="134"/>
      <c r="GI127" s="134"/>
      <c r="GJ127" s="134"/>
      <c r="GK127" s="134"/>
      <c r="GL127" s="134"/>
      <c r="GM127" s="134"/>
      <c r="GN127" s="134"/>
      <c r="GO127" s="134"/>
      <c r="GP127" s="134"/>
      <c r="GQ127" s="134"/>
      <c r="GR127" s="134"/>
      <c r="GS127" s="134"/>
      <c r="GT127" s="134"/>
      <c r="GU127" s="134"/>
      <c r="GV127" s="134"/>
      <c r="GW127" s="134"/>
      <c r="GX127" s="134"/>
      <c r="GY127" s="134"/>
      <c r="GZ127" s="134"/>
      <c r="HA127" s="134"/>
      <c r="HB127" s="134"/>
      <c r="HC127" s="134"/>
      <c r="HD127" s="134"/>
      <c r="HE127" s="134"/>
      <c r="HF127" s="134"/>
      <c r="HG127" s="134"/>
      <c r="HH127" s="134"/>
      <c r="HI127" s="134"/>
      <c r="HJ127" s="134"/>
      <c r="HK127" s="134"/>
      <c r="HL127" s="134"/>
      <c r="HM127" s="134"/>
      <c r="HN127" s="134"/>
      <c r="HO127" s="134"/>
      <c r="HP127" s="134"/>
      <c r="HQ127" s="134"/>
      <c r="HR127" s="134"/>
      <c r="HS127" s="134"/>
      <c r="HT127" s="134"/>
      <c r="HU127" s="134"/>
      <c r="HV127" s="134"/>
      <c r="HW127" s="134"/>
      <c r="HX127" s="134"/>
      <c r="HY127" s="134"/>
      <c r="HZ127" s="134"/>
      <c r="IA127" s="134"/>
      <c r="IB127" s="134"/>
      <c r="IC127" s="134"/>
      <c r="ID127" s="134"/>
      <c r="IE127" s="134"/>
      <c r="IF127" s="134"/>
      <c r="IG127" s="134"/>
      <c r="IH127" s="134"/>
      <c r="II127" s="134"/>
      <c r="IJ127" s="134"/>
      <c r="IK127" s="134"/>
      <c r="IL127" s="134"/>
      <c r="IM127" s="134"/>
      <c r="IN127" s="134"/>
      <c r="IO127" s="134"/>
      <c r="IP127" s="134"/>
      <c r="IQ127" s="134"/>
      <c r="IR127" s="134"/>
      <c r="IS127" s="134"/>
      <c r="IT127" s="134"/>
      <c r="IU127" s="134"/>
    </row>
    <row r="128" spans="1:255" ht="74.25" customHeight="1" x14ac:dyDescent="0.2">
      <c r="A128" s="236" t="str">
        <f>'HECVAT - Full'!A128</f>
        <v>DATA-02</v>
      </c>
      <c r="B128" s="236" t="str">
        <f>VLOOKUP(A128,'HECVAT - Full'!A$24:B$312,2,FALSE)</f>
        <v>Will Institution's data be stored on any devices (database servers, file servers, SAN, NAS, …) configured with non-RFC 1918/4193 (i.e. publicly routable) IP addresses?</v>
      </c>
      <c r="C128" s="249" t="s">
        <v>2808</v>
      </c>
      <c r="D128" s="250" t="s">
        <v>2809</v>
      </c>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c r="FW128" s="134"/>
      <c r="FX128" s="134"/>
      <c r="FY128" s="134"/>
      <c r="FZ128" s="134"/>
      <c r="GA128" s="134"/>
      <c r="GB128" s="134"/>
      <c r="GC128" s="134"/>
      <c r="GD128" s="134"/>
      <c r="GE128" s="134"/>
      <c r="GF128" s="134"/>
      <c r="GG128" s="134"/>
      <c r="GH128" s="134"/>
      <c r="GI128" s="134"/>
      <c r="GJ128" s="134"/>
      <c r="GK128" s="134"/>
      <c r="GL128" s="134"/>
      <c r="GM128" s="134"/>
      <c r="GN128" s="134"/>
      <c r="GO128" s="134"/>
      <c r="GP128" s="134"/>
      <c r="GQ128" s="134"/>
      <c r="GR128" s="134"/>
      <c r="GS128" s="134"/>
      <c r="GT128" s="134"/>
      <c r="GU128" s="134"/>
      <c r="GV128" s="134"/>
      <c r="GW128" s="134"/>
      <c r="GX128" s="134"/>
      <c r="GY128" s="134"/>
      <c r="GZ128" s="134"/>
      <c r="HA128" s="134"/>
      <c r="HB128" s="134"/>
      <c r="HC128" s="134"/>
      <c r="HD128" s="134"/>
      <c r="HE128" s="134"/>
      <c r="HF128" s="134"/>
      <c r="HG128" s="134"/>
      <c r="HH128" s="134"/>
      <c r="HI128" s="134"/>
      <c r="HJ128" s="134"/>
      <c r="HK128" s="134"/>
      <c r="HL128" s="134"/>
      <c r="HM128" s="134"/>
      <c r="HN128" s="134"/>
      <c r="HO128" s="134"/>
      <c r="HP128" s="134"/>
      <c r="HQ128" s="134"/>
      <c r="HR128" s="134"/>
      <c r="HS128" s="134"/>
      <c r="HT128" s="134"/>
      <c r="HU128" s="134"/>
      <c r="HV128" s="134"/>
      <c r="HW128" s="134"/>
      <c r="HX128" s="134"/>
      <c r="HY128" s="134"/>
      <c r="HZ128" s="134"/>
      <c r="IA128" s="134"/>
      <c r="IB128" s="134"/>
      <c r="IC128" s="134"/>
      <c r="ID128" s="134"/>
      <c r="IE128" s="134"/>
      <c r="IF128" s="134"/>
      <c r="IG128" s="134"/>
      <c r="IH128" s="134"/>
      <c r="II128" s="134"/>
      <c r="IJ128" s="134"/>
      <c r="IK128" s="134"/>
      <c r="IL128" s="134"/>
      <c r="IM128" s="134"/>
      <c r="IN128" s="134"/>
      <c r="IO128" s="134"/>
      <c r="IP128" s="134"/>
      <c r="IQ128" s="134"/>
      <c r="IR128" s="134"/>
      <c r="IS128" s="134"/>
      <c r="IT128" s="134"/>
      <c r="IU128" s="134"/>
    </row>
    <row r="129" spans="1:255" ht="68" customHeight="1" x14ac:dyDescent="0.2">
      <c r="A129" s="236" t="str">
        <f>'HECVAT - Full'!A129</f>
        <v>DATA-03</v>
      </c>
      <c r="B129" s="236" t="str">
        <f>VLOOKUP(A129,'HECVAT - Full'!A$24:B$312,2,FALSE)</f>
        <v>Is sensitive data encrypted in transport? (e.g. system-to-client)</v>
      </c>
      <c r="C129" s="239" t="s">
        <v>2810</v>
      </c>
      <c r="D129" s="244" t="s">
        <v>2811</v>
      </c>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c r="BS129" s="134"/>
      <c r="BT129" s="134"/>
      <c r="BU129" s="134"/>
      <c r="BV129" s="134"/>
      <c r="BW129" s="134"/>
      <c r="BX129" s="134"/>
      <c r="BY129" s="134"/>
      <c r="BZ129" s="134"/>
      <c r="CA129" s="134"/>
      <c r="CB129" s="134"/>
      <c r="CC129" s="134"/>
      <c r="CD129" s="134"/>
      <c r="CE129" s="134"/>
      <c r="CF129" s="134"/>
      <c r="CG129" s="134"/>
      <c r="CH129" s="134"/>
      <c r="CI129" s="134"/>
      <c r="CJ129" s="134"/>
      <c r="CK129" s="134"/>
      <c r="CL129" s="134"/>
      <c r="CM129" s="134"/>
      <c r="CN129" s="134"/>
      <c r="CO129" s="134"/>
      <c r="CP129" s="134"/>
      <c r="CQ129" s="134"/>
      <c r="CR129" s="134"/>
      <c r="CS129" s="134"/>
      <c r="CT129" s="134"/>
      <c r="CU129" s="134"/>
      <c r="CV129" s="134"/>
      <c r="CW129" s="134"/>
      <c r="CX129" s="134"/>
      <c r="CY129" s="134"/>
      <c r="CZ129" s="134"/>
      <c r="DA129" s="134"/>
      <c r="DB129" s="134"/>
      <c r="DC129" s="134"/>
      <c r="DD129" s="134"/>
      <c r="DE129" s="134"/>
      <c r="DF129" s="134"/>
      <c r="DG129" s="134"/>
      <c r="DH129" s="134"/>
      <c r="DI129" s="134"/>
      <c r="DJ129" s="134"/>
      <c r="DK129" s="134"/>
      <c r="DL129" s="134"/>
      <c r="DM129" s="134"/>
      <c r="DN129" s="134"/>
      <c r="DO129" s="134"/>
      <c r="DP129" s="134"/>
      <c r="DQ129" s="134"/>
      <c r="DR129" s="134"/>
      <c r="DS129" s="134"/>
      <c r="DT129" s="134"/>
      <c r="DU129" s="134"/>
      <c r="DV129" s="134"/>
      <c r="DW129" s="134"/>
      <c r="DX129" s="134"/>
      <c r="DY129" s="134"/>
      <c r="DZ129" s="134"/>
      <c r="EA129" s="134"/>
      <c r="EB129" s="134"/>
      <c r="EC129" s="134"/>
      <c r="ED129" s="134"/>
      <c r="EE129" s="134"/>
      <c r="EF129" s="134"/>
      <c r="EG129" s="134"/>
      <c r="EH129" s="134"/>
      <c r="EI129" s="134"/>
      <c r="EJ129" s="134"/>
      <c r="EK129" s="134"/>
      <c r="EL129" s="134"/>
      <c r="EM129" s="134"/>
      <c r="EN129" s="134"/>
      <c r="EO129" s="134"/>
      <c r="EP129" s="134"/>
      <c r="EQ129" s="134"/>
      <c r="ER129" s="134"/>
      <c r="ES129" s="134"/>
      <c r="ET129" s="134"/>
      <c r="EU129" s="134"/>
      <c r="EV129" s="134"/>
      <c r="EW129" s="134"/>
      <c r="EX129" s="134"/>
      <c r="EY129" s="134"/>
      <c r="EZ129" s="134"/>
      <c r="FA129" s="134"/>
      <c r="FB129" s="134"/>
      <c r="FC129" s="134"/>
      <c r="FD129" s="134"/>
      <c r="FE129" s="134"/>
      <c r="FF129" s="134"/>
      <c r="FG129" s="134"/>
      <c r="FH129" s="134"/>
      <c r="FI129" s="134"/>
      <c r="FJ129" s="134"/>
      <c r="FK129" s="134"/>
      <c r="FL129" s="134"/>
      <c r="FM129" s="134"/>
      <c r="FN129" s="134"/>
      <c r="FO129" s="134"/>
      <c r="FP129" s="134"/>
      <c r="FQ129" s="134"/>
      <c r="FR129" s="134"/>
      <c r="FS129" s="134"/>
      <c r="FT129" s="134"/>
      <c r="FU129" s="134"/>
      <c r="FV129" s="134"/>
      <c r="FW129" s="134"/>
      <c r="FX129" s="134"/>
      <c r="FY129" s="134"/>
      <c r="FZ129" s="134"/>
      <c r="GA129" s="134"/>
      <c r="GB129" s="134"/>
      <c r="GC129" s="134"/>
      <c r="GD129" s="134"/>
      <c r="GE129" s="134"/>
      <c r="GF129" s="134"/>
      <c r="GG129" s="134"/>
      <c r="GH129" s="134"/>
      <c r="GI129" s="134"/>
      <c r="GJ129" s="134"/>
      <c r="GK129" s="134"/>
      <c r="GL129" s="134"/>
      <c r="GM129" s="134"/>
      <c r="GN129" s="134"/>
      <c r="GO129" s="134"/>
      <c r="GP129" s="134"/>
      <c r="GQ129" s="134"/>
      <c r="GR129" s="134"/>
      <c r="GS129" s="134"/>
      <c r="GT129" s="134"/>
      <c r="GU129" s="134"/>
      <c r="GV129" s="134"/>
      <c r="GW129" s="134"/>
      <c r="GX129" s="134"/>
      <c r="GY129" s="134"/>
      <c r="GZ129" s="134"/>
      <c r="HA129" s="134"/>
      <c r="HB129" s="134"/>
      <c r="HC129" s="134"/>
      <c r="HD129" s="134"/>
      <c r="HE129" s="134"/>
      <c r="HF129" s="134"/>
      <c r="HG129" s="134"/>
      <c r="HH129" s="134"/>
      <c r="HI129" s="134"/>
      <c r="HJ129" s="134"/>
      <c r="HK129" s="134"/>
      <c r="HL129" s="134"/>
      <c r="HM129" s="134"/>
      <c r="HN129" s="134"/>
      <c r="HO129" s="134"/>
      <c r="HP129" s="134"/>
      <c r="HQ129" s="134"/>
      <c r="HR129" s="134"/>
      <c r="HS129" s="134"/>
      <c r="HT129" s="134"/>
      <c r="HU129" s="134"/>
      <c r="HV129" s="134"/>
      <c r="HW129" s="134"/>
      <c r="HX129" s="134"/>
      <c r="HY129" s="134"/>
      <c r="HZ129" s="134"/>
      <c r="IA129" s="134"/>
      <c r="IB129" s="134"/>
      <c r="IC129" s="134"/>
      <c r="ID129" s="134"/>
      <c r="IE129" s="134"/>
      <c r="IF129" s="134"/>
      <c r="IG129" s="134"/>
      <c r="IH129" s="134"/>
      <c r="II129" s="134"/>
      <c r="IJ129" s="134"/>
      <c r="IK129" s="134"/>
      <c r="IL129" s="134"/>
      <c r="IM129" s="134"/>
      <c r="IN129" s="134"/>
      <c r="IO129" s="134"/>
      <c r="IP129" s="134"/>
      <c r="IQ129" s="134"/>
      <c r="IR129" s="134"/>
      <c r="IS129" s="134"/>
      <c r="IT129" s="134"/>
      <c r="IU129" s="134"/>
    </row>
    <row r="130" spans="1:255" ht="68" customHeight="1" x14ac:dyDescent="0.2">
      <c r="A130" s="236" t="str">
        <f>'HECVAT - Full'!A130</f>
        <v>DATA-04</v>
      </c>
      <c r="B130" s="236" t="str">
        <f>VLOOKUP(A130,'HECVAT - Full'!A$24:B$312,2,FALSE)</f>
        <v>Is sensitive data encrypted in storage (e.g. disk encryption, at-rest)?</v>
      </c>
      <c r="C130" s="239" t="s">
        <v>2720</v>
      </c>
      <c r="D130" s="244" t="s">
        <v>2812</v>
      </c>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34"/>
      <c r="BQ130" s="134"/>
      <c r="BR130" s="134"/>
      <c r="BS130" s="134"/>
      <c r="BT130" s="134"/>
      <c r="BU130" s="134"/>
      <c r="BV130" s="134"/>
      <c r="BW130" s="134"/>
      <c r="BX130" s="134"/>
      <c r="BY130" s="134"/>
      <c r="BZ130" s="134"/>
      <c r="CA130" s="134"/>
      <c r="CB130" s="134"/>
      <c r="CC130" s="134"/>
      <c r="CD130" s="134"/>
      <c r="CE130" s="134"/>
      <c r="CF130" s="134"/>
      <c r="CG130" s="134"/>
      <c r="CH130" s="134"/>
      <c r="CI130" s="134"/>
      <c r="CJ130" s="134"/>
      <c r="CK130" s="134"/>
      <c r="CL130" s="134"/>
      <c r="CM130" s="134"/>
      <c r="CN130" s="134"/>
      <c r="CO130" s="134"/>
      <c r="CP130" s="134"/>
      <c r="CQ130" s="134"/>
      <c r="CR130" s="134"/>
      <c r="CS130" s="134"/>
      <c r="CT130" s="134"/>
      <c r="CU130" s="134"/>
      <c r="CV130" s="134"/>
      <c r="CW130" s="134"/>
      <c r="CX130" s="134"/>
      <c r="CY130" s="134"/>
      <c r="CZ130" s="134"/>
      <c r="DA130" s="134"/>
      <c r="DB130" s="134"/>
      <c r="DC130" s="134"/>
      <c r="DD130" s="134"/>
      <c r="DE130" s="134"/>
      <c r="DF130" s="134"/>
      <c r="DG130" s="134"/>
      <c r="DH130" s="134"/>
      <c r="DI130" s="134"/>
      <c r="DJ130" s="134"/>
      <c r="DK130" s="134"/>
      <c r="DL130" s="134"/>
      <c r="DM130" s="134"/>
      <c r="DN130" s="134"/>
      <c r="DO130" s="134"/>
      <c r="DP130" s="134"/>
      <c r="DQ130" s="134"/>
      <c r="DR130" s="134"/>
      <c r="DS130" s="134"/>
      <c r="DT130" s="134"/>
      <c r="DU130" s="134"/>
      <c r="DV130" s="134"/>
      <c r="DW130" s="134"/>
      <c r="DX130" s="134"/>
      <c r="DY130" s="134"/>
      <c r="DZ130" s="134"/>
      <c r="EA130" s="134"/>
      <c r="EB130" s="134"/>
      <c r="EC130" s="134"/>
      <c r="ED130" s="134"/>
      <c r="EE130" s="134"/>
      <c r="EF130" s="134"/>
      <c r="EG130" s="134"/>
      <c r="EH130" s="134"/>
      <c r="EI130" s="134"/>
      <c r="EJ130" s="134"/>
      <c r="EK130" s="134"/>
      <c r="EL130" s="134"/>
      <c r="EM130" s="134"/>
      <c r="EN130" s="134"/>
      <c r="EO130" s="134"/>
      <c r="EP130" s="134"/>
      <c r="EQ130" s="134"/>
      <c r="ER130" s="134"/>
      <c r="ES130" s="134"/>
      <c r="ET130" s="134"/>
      <c r="EU130" s="134"/>
      <c r="EV130" s="134"/>
      <c r="EW130" s="134"/>
      <c r="EX130" s="134"/>
      <c r="EY130" s="134"/>
      <c r="EZ130" s="134"/>
      <c r="FA130" s="134"/>
      <c r="FB130" s="134"/>
      <c r="FC130" s="134"/>
      <c r="FD130" s="134"/>
      <c r="FE130" s="134"/>
      <c r="FF130" s="134"/>
      <c r="FG130" s="134"/>
      <c r="FH130" s="134"/>
      <c r="FI130" s="134"/>
      <c r="FJ130" s="134"/>
      <c r="FK130" s="134"/>
      <c r="FL130" s="134"/>
      <c r="FM130" s="134"/>
      <c r="FN130" s="134"/>
      <c r="FO130" s="134"/>
      <c r="FP130" s="134"/>
      <c r="FQ130" s="134"/>
      <c r="FR130" s="134"/>
      <c r="FS130" s="134"/>
      <c r="FT130" s="134"/>
      <c r="FU130" s="134"/>
      <c r="FV130" s="134"/>
      <c r="FW130" s="134"/>
      <c r="FX130" s="134"/>
      <c r="FY130" s="134"/>
      <c r="FZ130" s="134"/>
      <c r="GA130" s="134"/>
      <c r="GB130" s="134"/>
      <c r="GC130" s="134"/>
      <c r="GD130" s="134"/>
      <c r="GE130" s="134"/>
      <c r="GF130" s="134"/>
      <c r="GG130" s="134"/>
      <c r="GH130" s="134"/>
      <c r="GI130" s="134"/>
      <c r="GJ130" s="134"/>
      <c r="GK130" s="134"/>
      <c r="GL130" s="134"/>
      <c r="GM130" s="134"/>
      <c r="GN130" s="134"/>
      <c r="GO130" s="134"/>
      <c r="GP130" s="134"/>
      <c r="GQ130" s="134"/>
      <c r="GR130" s="134"/>
      <c r="GS130" s="134"/>
      <c r="GT130" s="134"/>
      <c r="GU130" s="134"/>
      <c r="GV130" s="134"/>
      <c r="GW130" s="134"/>
      <c r="GX130" s="134"/>
      <c r="GY130" s="134"/>
      <c r="GZ130" s="134"/>
      <c r="HA130" s="134"/>
      <c r="HB130" s="134"/>
      <c r="HC130" s="134"/>
      <c r="HD130" s="134"/>
      <c r="HE130" s="134"/>
      <c r="HF130" s="134"/>
      <c r="HG130" s="134"/>
      <c r="HH130" s="134"/>
      <c r="HI130" s="134"/>
      <c r="HJ130" s="134"/>
      <c r="HK130" s="134"/>
      <c r="HL130" s="134"/>
      <c r="HM130" s="134"/>
      <c r="HN130" s="134"/>
      <c r="HO130" s="134"/>
      <c r="HP130" s="134"/>
      <c r="HQ130" s="134"/>
      <c r="HR130" s="134"/>
      <c r="HS130" s="134"/>
      <c r="HT130" s="134"/>
      <c r="HU130" s="134"/>
      <c r="HV130" s="134"/>
      <c r="HW130" s="134"/>
      <c r="HX130" s="134"/>
      <c r="HY130" s="134"/>
      <c r="HZ130" s="134"/>
      <c r="IA130" s="134"/>
      <c r="IB130" s="134"/>
      <c r="IC130" s="134"/>
      <c r="ID130" s="134"/>
      <c r="IE130" s="134"/>
      <c r="IF130" s="134"/>
      <c r="IG130" s="134"/>
      <c r="IH130" s="134"/>
      <c r="II130" s="134"/>
      <c r="IJ130" s="134"/>
      <c r="IK130" s="134"/>
      <c r="IL130" s="134"/>
      <c r="IM130" s="134"/>
      <c r="IN130" s="134"/>
      <c r="IO130" s="134"/>
      <c r="IP130" s="134"/>
      <c r="IQ130" s="134"/>
      <c r="IR130" s="134"/>
      <c r="IS130" s="134"/>
      <c r="IT130" s="134"/>
      <c r="IU130" s="134"/>
    </row>
    <row r="131" spans="1:255" ht="90" x14ac:dyDescent="0.2">
      <c r="A131" s="236" t="str">
        <f>'HECVAT - Full'!A131</f>
        <v>DATA-05</v>
      </c>
      <c r="B131" s="236" t="str">
        <f>VLOOKUP(A131,'HECVAT - Full'!A$24:B$312,2,FALSE)</f>
        <v>Do you employ or allow any cryptographic modules that do not conform to the Federal Information Processing Standards (FIPS PUB 140-2)?</v>
      </c>
      <c r="C131" s="237" t="s">
        <v>2813</v>
      </c>
      <c r="D131" s="247" t="s">
        <v>2814</v>
      </c>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34"/>
      <c r="BR131" s="134"/>
      <c r="BS131" s="134"/>
      <c r="BT131" s="134"/>
      <c r="BU131" s="134"/>
      <c r="BV131" s="134"/>
      <c r="BW131" s="134"/>
      <c r="BX131" s="134"/>
      <c r="BY131" s="134"/>
      <c r="BZ131" s="134"/>
      <c r="CA131" s="134"/>
      <c r="CB131" s="134"/>
      <c r="CC131" s="134"/>
      <c r="CD131" s="134"/>
      <c r="CE131" s="134"/>
      <c r="CF131" s="134"/>
      <c r="CG131" s="134"/>
      <c r="CH131" s="134"/>
      <c r="CI131" s="134"/>
      <c r="CJ131" s="134"/>
      <c r="CK131" s="134"/>
      <c r="CL131" s="134"/>
      <c r="CM131" s="134"/>
      <c r="CN131" s="134"/>
      <c r="CO131" s="134"/>
      <c r="CP131" s="134"/>
      <c r="CQ131" s="134"/>
      <c r="CR131" s="134"/>
      <c r="CS131" s="134"/>
      <c r="CT131" s="134"/>
      <c r="CU131" s="134"/>
      <c r="CV131" s="134"/>
      <c r="CW131" s="134"/>
      <c r="CX131" s="134"/>
      <c r="CY131" s="134"/>
      <c r="CZ131" s="134"/>
      <c r="DA131" s="134"/>
      <c r="DB131" s="134"/>
      <c r="DC131" s="134"/>
      <c r="DD131" s="134"/>
      <c r="DE131" s="134"/>
      <c r="DF131" s="134"/>
      <c r="DG131" s="134"/>
      <c r="DH131" s="134"/>
      <c r="DI131" s="134"/>
      <c r="DJ131" s="134"/>
      <c r="DK131" s="134"/>
      <c r="DL131" s="134"/>
      <c r="DM131" s="134"/>
      <c r="DN131" s="134"/>
      <c r="DO131" s="134"/>
      <c r="DP131" s="134"/>
      <c r="DQ131" s="134"/>
      <c r="DR131" s="134"/>
      <c r="DS131" s="134"/>
      <c r="DT131" s="134"/>
      <c r="DU131" s="134"/>
      <c r="DV131" s="134"/>
      <c r="DW131" s="134"/>
      <c r="DX131" s="134"/>
      <c r="DY131" s="134"/>
      <c r="DZ131" s="134"/>
      <c r="EA131" s="134"/>
      <c r="EB131" s="134"/>
      <c r="EC131" s="134"/>
      <c r="ED131" s="134"/>
      <c r="EE131" s="134"/>
      <c r="EF131" s="134"/>
      <c r="EG131" s="134"/>
      <c r="EH131" s="134"/>
      <c r="EI131" s="134"/>
      <c r="EJ131" s="134"/>
      <c r="EK131" s="134"/>
      <c r="EL131" s="134"/>
      <c r="EM131" s="134"/>
      <c r="EN131" s="134"/>
      <c r="EO131" s="134"/>
      <c r="EP131" s="134"/>
      <c r="EQ131" s="134"/>
      <c r="ER131" s="134"/>
      <c r="ES131" s="134"/>
      <c r="ET131" s="134"/>
      <c r="EU131" s="134"/>
      <c r="EV131" s="134"/>
      <c r="EW131" s="134"/>
      <c r="EX131" s="134"/>
      <c r="EY131" s="134"/>
      <c r="EZ131" s="134"/>
      <c r="FA131" s="134"/>
      <c r="FB131" s="134"/>
      <c r="FC131" s="134"/>
      <c r="FD131" s="134"/>
      <c r="FE131" s="134"/>
      <c r="FF131" s="134"/>
      <c r="FG131" s="134"/>
      <c r="FH131" s="134"/>
      <c r="FI131" s="134"/>
      <c r="FJ131" s="134"/>
      <c r="FK131" s="134"/>
      <c r="FL131" s="134"/>
      <c r="FM131" s="134"/>
      <c r="FN131" s="134"/>
      <c r="FO131" s="134"/>
      <c r="FP131" s="134"/>
      <c r="FQ131" s="134"/>
      <c r="FR131" s="134"/>
      <c r="FS131" s="134"/>
      <c r="FT131" s="134"/>
      <c r="FU131" s="134"/>
      <c r="FV131" s="134"/>
      <c r="FW131" s="134"/>
      <c r="FX131" s="134"/>
      <c r="FY131" s="134"/>
      <c r="FZ131" s="134"/>
      <c r="GA131" s="134"/>
      <c r="GB131" s="134"/>
      <c r="GC131" s="134"/>
      <c r="GD131" s="134"/>
      <c r="GE131" s="134"/>
      <c r="GF131" s="134"/>
      <c r="GG131" s="134"/>
      <c r="GH131" s="134"/>
      <c r="GI131" s="134"/>
      <c r="GJ131" s="134"/>
      <c r="GK131" s="134"/>
      <c r="GL131" s="134"/>
      <c r="GM131" s="134"/>
      <c r="GN131" s="134"/>
      <c r="GO131" s="134"/>
      <c r="GP131" s="134"/>
      <c r="GQ131" s="134"/>
      <c r="GR131" s="134"/>
      <c r="GS131" s="134"/>
      <c r="GT131" s="134"/>
      <c r="GU131" s="134"/>
      <c r="GV131" s="134"/>
      <c r="GW131" s="134"/>
      <c r="GX131" s="134"/>
      <c r="GY131" s="134"/>
      <c r="GZ131" s="134"/>
      <c r="HA131" s="134"/>
      <c r="HB131" s="134"/>
      <c r="HC131" s="134"/>
      <c r="HD131" s="134"/>
      <c r="HE131" s="134"/>
      <c r="HF131" s="134"/>
      <c r="HG131" s="134"/>
      <c r="HH131" s="134"/>
      <c r="HI131" s="134"/>
      <c r="HJ131" s="134"/>
      <c r="HK131" s="134"/>
      <c r="HL131" s="134"/>
      <c r="HM131" s="134"/>
      <c r="HN131" s="134"/>
      <c r="HO131" s="134"/>
      <c r="HP131" s="134"/>
      <c r="HQ131" s="134"/>
      <c r="HR131" s="134"/>
      <c r="HS131" s="134"/>
      <c r="HT131" s="134"/>
      <c r="HU131" s="134"/>
      <c r="HV131" s="134"/>
      <c r="HW131" s="134"/>
      <c r="HX131" s="134"/>
      <c r="HY131" s="134"/>
      <c r="HZ131" s="134"/>
      <c r="IA131" s="134"/>
      <c r="IB131" s="134"/>
      <c r="IC131" s="134"/>
      <c r="ID131" s="134"/>
      <c r="IE131" s="134"/>
      <c r="IF131" s="134"/>
      <c r="IG131" s="134"/>
      <c r="IH131" s="134"/>
      <c r="II131" s="134"/>
      <c r="IJ131" s="134"/>
      <c r="IK131" s="134"/>
      <c r="IL131" s="134"/>
      <c r="IM131" s="134"/>
      <c r="IN131" s="134"/>
      <c r="IO131" s="134"/>
      <c r="IP131" s="134"/>
      <c r="IQ131" s="134"/>
      <c r="IR131" s="134"/>
      <c r="IS131" s="134"/>
      <c r="IT131" s="134"/>
      <c r="IU131" s="134"/>
    </row>
    <row r="132" spans="1:255" ht="105" x14ac:dyDescent="0.2">
      <c r="A132" s="236" t="str">
        <f>'HECVAT - Full'!A132</f>
        <v>DATA-06</v>
      </c>
      <c r="B132" s="236" t="str">
        <f>VLOOKUP(A132,'HECVAT - Full'!A$24:B$312,2,FALSE)</f>
        <v>Does your system employ encryption technologies when transmitting sensitive information over TCP/IP networks (e.g., SSH, SSL/TLS, VPN)? (e.g. system-to-system and system-to-client)</v>
      </c>
      <c r="C132" s="249" t="s">
        <v>2815</v>
      </c>
      <c r="D132" s="250" t="s">
        <v>2816</v>
      </c>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34"/>
      <c r="BQ132" s="134"/>
      <c r="BR132" s="134"/>
      <c r="BS132" s="134"/>
      <c r="BT132" s="134"/>
      <c r="BU132" s="134"/>
      <c r="BV132" s="134"/>
      <c r="BW132" s="134"/>
      <c r="BX132" s="134"/>
      <c r="BY132" s="134"/>
      <c r="BZ132" s="134"/>
      <c r="CA132" s="134"/>
      <c r="CB132" s="134"/>
      <c r="CC132" s="134"/>
      <c r="CD132" s="134"/>
      <c r="CE132" s="134"/>
      <c r="CF132" s="134"/>
      <c r="CG132" s="134"/>
      <c r="CH132" s="134"/>
      <c r="CI132" s="134"/>
      <c r="CJ132" s="134"/>
      <c r="CK132" s="134"/>
      <c r="CL132" s="134"/>
      <c r="CM132" s="134"/>
      <c r="CN132" s="134"/>
      <c r="CO132" s="134"/>
      <c r="CP132" s="134"/>
      <c r="CQ132" s="134"/>
      <c r="CR132" s="134"/>
      <c r="CS132" s="134"/>
      <c r="CT132" s="134"/>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134"/>
      <c r="DT132" s="134"/>
      <c r="DU132" s="134"/>
      <c r="DV132" s="134"/>
      <c r="DW132" s="134"/>
      <c r="DX132" s="134"/>
      <c r="DY132" s="134"/>
      <c r="DZ132" s="134"/>
      <c r="EA132" s="134"/>
      <c r="EB132" s="134"/>
      <c r="EC132" s="134"/>
      <c r="ED132" s="134"/>
      <c r="EE132" s="134"/>
      <c r="EF132" s="134"/>
      <c r="EG132" s="134"/>
      <c r="EH132" s="134"/>
      <c r="EI132" s="134"/>
      <c r="EJ132" s="134"/>
      <c r="EK132" s="134"/>
      <c r="EL132" s="134"/>
      <c r="EM132" s="134"/>
      <c r="EN132" s="134"/>
      <c r="EO132" s="134"/>
      <c r="EP132" s="134"/>
      <c r="EQ132" s="134"/>
      <c r="ER132" s="134"/>
      <c r="ES132" s="134"/>
      <c r="ET132" s="134"/>
      <c r="EU132" s="134"/>
      <c r="EV132" s="134"/>
      <c r="EW132" s="134"/>
      <c r="EX132" s="134"/>
      <c r="EY132" s="134"/>
      <c r="EZ132" s="134"/>
      <c r="FA132" s="134"/>
      <c r="FB132" s="134"/>
      <c r="FC132" s="134"/>
      <c r="FD132" s="134"/>
      <c r="FE132" s="134"/>
      <c r="FF132" s="134"/>
      <c r="FG132" s="134"/>
      <c r="FH132" s="134"/>
      <c r="FI132" s="134"/>
      <c r="FJ132" s="134"/>
      <c r="FK132" s="134"/>
      <c r="FL132" s="134"/>
      <c r="FM132" s="134"/>
      <c r="FN132" s="134"/>
      <c r="FO132" s="134"/>
      <c r="FP132" s="134"/>
      <c r="FQ132" s="134"/>
      <c r="FR132" s="134"/>
      <c r="FS132" s="134"/>
      <c r="FT132" s="134"/>
      <c r="FU132" s="134"/>
      <c r="FV132" s="134"/>
      <c r="FW132" s="134"/>
      <c r="FX132" s="134"/>
      <c r="FY132" s="134"/>
      <c r="FZ132" s="134"/>
      <c r="GA132" s="134"/>
      <c r="GB132" s="134"/>
      <c r="GC132" s="134"/>
      <c r="GD132" s="134"/>
      <c r="GE132" s="134"/>
      <c r="GF132" s="134"/>
      <c r="GG132" s="134"/>
      <c r="GH132" s="134"/>
      <c r="GI132" s="134"/>
      <c r="GJ132" s="134"/>
      <c r="GK132" s="134"/>
      <c r="GL132" s="134"/>
      <c r="GM132" s="134"/>
      <c r="GN132" s="134"/>
      <c r="GO132" s="134"/>
      <c r="GP132" s="134"/>
      <c r="GQ132" s="134"/>
      <c r="GR132" s="134"/>
      <c r="GS132" s="134"/>
      <c r="GT132" s="134"/>
      <c r="GU132" s="134"/>
      <c r="GV132" s="134"/>
      <c r="GW132" s="134"/>
      <c r="GX132" s="134"/>
      <c r="GY132" s="134"/>
      <c r="GZ132" s="134"/>
      <c r="HA132" s="134"/>
      <c r="HB132" s="134"/>
      <c r="HC132" s="134"/>
      <c r="HD132" s="134"/>
      <c r="HE132" s="134"/>
      <c r="HF132" s="134"/>
      <c r="HG132" s="134"/>
      <c r="HH132" s="134"/>
      <c r="HI132" s="134"/>
      <c r="HJ132" s="134"/>
      <c r="HK132" s="134"/>
      <c r="HL132" s="134"/>
      <c r="HM132" s="134"/>
      <c r="HN132" s="134"/>
      <c r="HO132" s="134"/>
      <c r="HP132" s="134"/>
      <c r="HQ132" s="134"/>
      <c r="HR132" s="134"/>
      <c r="HS132" s="134"/>
      <c r="HT132" s="134"/>
      <c r="HU132" s="134"/>
      <c r="HV132" s="134"/>
      <c r="HW132" s="134"/>
      <c r="HX132" s="134"/>
      <c r="HY132" s="134"/>
      <c r="HZ132" s="134"/>
      <c r="IA132" s="134"/>
      <c r="IB132" s="134"/>
      <c r="IC132" s="134"/>
      <c r="ID132" s="134"/>
      <c r="IE132" s="134"/>
      <c r="IF132" s="134"/>
      <c r="IG132" s="134"/>
      <c r="IH132" s="134"/>
      <c r="II132" s="134"/>
      <c r="IJ132" s="134"/>
      <c r="IK132" s="134"/>
      <c r="IL132" s="134"/>
      <c r="IM132" s="134"/>
      <c r="IN132" s="134"/>
      <c r="IO132" s="134"/>
      <c r="IP132" s="134"/>
      <c r="IQ132" s="134"/>
      <c r="IR132" s="134"/>
      <c r="IS132" s="134"/>
      <c r="IT132" s="134"/>
      <c r="IU132" s="134"/>
    </row>
    <row r="133" spans="1:255" ht="90" x14ac:dyDescent="0.2">
      <c r="A133" s="236" t="str">
        <f>'HECVAT - Full'!A133</f>
        <v>DATA-07</v>
      </c>
      <c r="B133" s="236" t="str">
        <f>VLOOKUP(A133,'HECVAT - Full'!A$24:B$312,2,FALSE)</f>
        <v>List all locations (i.e. city + datacenter name) where the institution's data will be stored?</v>
      </c>
      <c r="C133" s="239" t="s">
        <v>2817</v>
      </c>
      <c r="D133" s="244" t="s">
        <v>2818</v>
      </c>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c r="BS133" s="134"/>
      <c r="BT133" s="134"/>
      <c r="BU133" s="134"/>
      <c r="BV133" s="134"/>
      <c r="BW133" s="134"/>
      <c r="BX133" s="134"/>
      <c r="BY133" s="134"/>
      <c r="BZ133" s="134"/>
      <c r="CA133" s="134"/>
      <c r="CB133" s="134"/>
      <c r="CC133" s="134"/>
      <c r="CD133" s="134"/>
      <c r="CE133" s="134"/>
      <c r="CF133" s="134"/>
      <c r="CG133" s="134"/>
      <c r="CH133" s="134"/>
      <c r="CI133" s="134"/>
      <c r="CJ133" s="134"/>
      <c r="CK133" s="134"/>
      <c r="CL133" s="134"/>
      <c r="CM133" s="134"/>
      <c r="CN133" s="134"/>
      <c r="CO133" s="134"/>
      <c r="CP133" s="134"/>
      <c r="CQ133" s="134"/>
      <c r="CR133" s="134"/>
      <c r="CS133" s="134"/>
      <c r="CT133" s="134"/>
      <c r="CU133" s="134"/>
      <c r="CV133" s="134"/>
      <c r="CW133" s="134"/>
      <c r="CX133" s="134"/>
      <c r="CY133" s="134"/>
      <c r="CZ133" s="134"/>
      <c r="DA133" s="134"/>
      <c r="DB133" s="134"/>
      <c r="DC133" s="134"/>
      <c r="DD133" s="134"/>
      <c r="DE133" s="134"/>
      <c r="DF133" s="134"/>
      <c r="DG133" s="134"/>
      <c r="DH133" s="134"/>
      <c r="DI133" s="134"/>
      <c r="DJ133" s="134"/>
      <c r="DK133" s="134"/>
      <c r="DL133" s="134"/>
      <c r="DM133" s="134"/>
      <c r="DN133" s="134"/>
      <c r="DO133" s="134"/>
      <c r="DP133" s="134"/>
      <c r="DQ133" s="134"/>
      <c r="DR133" s="134"/>
      <c r="DS133" s="134"/>
      <c r="DT133" s="134"/>
      <c r="DU133" s="134"/>
      <c r="DV133" s="134"/>
      <c r="DW133" s="134"/>
      <c r="DX133" s="134"/>
      <c r="DY133" s="134"/>
      <c r="DZ133" s="134"/>
      <c r="EA133" s="134"/>
      <c r="EB133" s="134"/>
      <c r="EC133" s="134"/>
      <c r="ED133" s="134"/>
      <c r="EE133" s="134"/>
      <c r="EF133" s="134"/>
      <c r="EG133" s="134"/>
      <c r="EH133" s="134"/>
      <c r="EI133" s="134"/>
      <c r="EJ133" s="134"/>
      <c r="EK133" s="134"/>
      <c r="EL133" s="134"/>
      <c r="EM133" s="134"/>
      <c r="EN133" s="134"/>
      <c r="EO133" s="134"/>
      <c r="EP133" s="134"/>
      <c r="EQ133" s="134"/>
      <c r="ER133" s="134"/>
      <c r="ES133" s="134"/>
      <c r="ET133" s="134"/>
      <c r="EU133" s="134"/>
      <c r="EV133" s="134"/>
      <c r="EW133" s="134"/>
      <c r="EX133" s="134"/>
      <c r="EY133" s="134"/>
      <c r="EZ133" s="134"/>
      <c r="FA133" s="134"/>
      <c r="FB133" s="134"/>
      <c r="FC133" s="134"/>
      <c r="FD133" s="134"/>
      <c r="FE133" s="134"/>
      <c r="FF133" s="134"/>
      <c r="FG133" s="134"/>
      <c r="FH133" s="134"/>
      <c r="FI133" s="134"/>
      <c r="FJ133" s="134"/>
      <c r="FK133" s="134"/>
      <c r="FL133" s="134"/>
      <c r="FM133" s="134"/>
      <c r="FN133" s="134"/>
      <c r="FO133" s="134"/>
      <c r="FP133" s="134"/>
      <c r="FQ133" s="134"/>
      <c r="FR133" s="134"/>
      <c r="FS133" s="134"/>
      <c r="FT133" s="134"/>
      <c r="FU133" s="134"/>
      <c r="FV133" s="134"/>
      <c r="FW133" s="134"/>
      <c r="FX133" s="134"/>
      <c r="FY133" s="134"/>
      <c r="FZ133" s="134"/>
      <c r="GA133" s="134"/>
      <c r="GB133" s="134"/>
      <c r="GC133" s="134"/>
      <c r="GD133" s="134"/>
      <c r="GE133" s="134"/>
      <c r="GF133" s="134"/>
      <c r="GG133" s="134"/>
      <c r="GH133" s="134"/>
      <c r="GI133" s="134"/>
      <c r="GJ133" s="134"/>
      <c r="GK133" s="134"/>
      <c r="GL133" s="134"/>
      <c r="GM133" s="134"/>
      <c r="GN133" s="134"/>
      <c r="GO133" s="134"/>
      <c r="GP133" s="134"/>
      <c r="GQ133" s="134"/>
      <c r="GR133" s="134"/>
      <c r="GS133" s="134"/>
      <c r="GT133" s="134"/>
      <c r="GU133" s="134"/>
      <c r="GV133" s="134"/>
      <c r="GW133" s="134"/>
      <c r="GX133" s="134"/>
      <c r="GY133" s="134"/>
      <c r="GZ133" s="134"/>
      <c r="HA133" s="134"/>
      <c r="HB133" s="134"/>
      <c r="HC133" s="134"/>
      <c r="HD133" s="134"/>
      <c r="HE133" s="134"/>
      <c r="HF133" s="134"/>
      <c r="HG133" s="134"/>
      <c r="HH133" s="134"/>
      <c r="HI133" s="134"/>
      <c r="HJ133" s="134"/>
      <c r="HK133" s="134"/>
      <c r="HL133" s="134"/>
      <c r="HM133" s="134"/>
      <c r="HN133" s="134"/>
      <c r="HO133" s="134"/>
      <c r="HP133" s="134"/>
      <c r="HQ133" s="134"/>
      <c r="HR133" s="134"/>
      <c r="HS133" s="134"/>
      <c r="HT133" s="134"/>
      <c r="HU133" s="134"/>
      <c r="HV133" s="134"/>
      <c r="HW133" s="134"/>
      <c r="HX133" s="134"/>
      <c r="HY133" s="134"/>
      <c r="HZ133" s="134"/>
      <c r="IA133" s="134"/>
      <c r="IB133" s="134"/>
      <c r="IC133" s="134"/>
      <c r="ID133" s="134"/>
      <c r="IE133" s="134"/>
      <c r="IF133" s="134"/>
      <c r="IG133" s="134"/>
      <c r="IH133" s="134"/>
      <c r="II133" s="134"/>
      <c r="IJ133" s="134"/>
      <c r="IK133" s="134"/>
      <c r="IL133" s="134"/>
      <c r="IM133" s="134"/>
      <c r="IN133" s="134"/>
      <c r="IO133" s="134"/>
      <c r="IP133" s="134"/>
      <c r="IQ133" s="134"/>
      <c r="IR133" s="134"/>
      <c r="IS133" s="134"/>
      <c r="IT133" s="134"/>
      <c r="IU133" s="134"/>
    </row>
    <row r="134" spans="1:255" ht="76.5" customHeight="1" x14ac:dyDescent="0.2">
      <c r="A134" s="236" t="str">
        <f>'HECVAT - Full'!A134</f>
        <v>DATA-08</v>
      </c>
      <c r="B134" s="236" t="str">
        <f>VLOOKUP(A134,'HECVAT - Full'!A$24:B$312,2,FALSE)</f>
        <v>At the completion of this contract, will data be returned to the institution?</v>
      </c>
      <c r="C134" s="266" t="s">
        <v>3024</v>
      </c>
      <c r="D134" s="250" t="s">
        <v>2819</v>
      </c>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4"/>
      <c r="EO134" s="134"/>
      <c r="EP134" s="134"/>
      <c r="EQ134" s="134"/>
      <c r="ER134" s="134"/>
      <c r="ES134" s="134"/>
      <c r="ET134" s="134"/>
      <c r="EU134" s="134"/>
      <c r="EV134" s="134"/>
      <c r="EW134" s="134"/>
      <c r="EX134" s="134"/>
      <c r="EY134" s="134"/>
      <c r="EZ134" s="134"/>
      <c r="FA134" s="134"/>
      <c r="FB134" s="134"/>
      <c r="FC134" s="134"/>
      <c r="FD134" s="134"/>
      <c r="FE134" s="134"/>
      <c r="FF134" s="134"/>
      <c r="FG134" s="134"/>
      <c r="FH134" s="134"/>
      <c r="FI134" s="134"/>
      <c r="FJ134" s="134"/>
      <c r="FK134" s="134"/>
      <c r="FL134" s="134"/>
      <c r="FM134" s="134"/>
      <c r="FN134" s="134"/>
      <c r="FO134" s="134"/>
      <c r="FP134" s="134"/>
      <c r="FQ134" s="134"/>
      <c r="FR134" s="134"/>
      <c r="FS134" s="134"/>
      <c r="FT134" s="134"/>
      <c r="FU134" s="134"/>
      <c r="FV134" s="134"/>
      <c r="FW134" s="134"/>
      <c r="FX134" s="134"/>
      <c r="FY134" s="134"/>
      <c r="FZ134" s="134"/>
      <c r="GA134" s="134"/>
      <c r="GB134" s="134"/>
      <c r="GC134" s="134"/>
      <c r="GD134" s="134"/>
      <c r="GE134" s="134"/>
      <c r="GF134" s="134"/>
      <c r="GG134" s="134"/>
      <c r="GH134" s="134"/>
      <c r="GI134" s="134"/>
      <c r="GJ134" s="134"/>
      <c r="GK134" s="134"/>
      <c r="GL134" s="134"/>
      <c r="GM134" s="134"/>
      <c r="GN134" s="134"/>
      <c r="GO134" s="134"/>
      <c r="GP134" s="134"/>
      <c r="GQ134" s="134"/>
      <c r="GR134" s="134"/>
      <c r="GS134" s="134"/>
      <c r="GT134" s="134"/>
      <c r="GU134" s="134"/>
      <c r="GV134" s="134"/>
      <c r="GW134" s="134"/>
      <c r="GX134" s="134"/>
      <c r="GY134" s="134"/>
      <c r="GZ134" s="134"/>
      <c r="HA134" s="134"/>
      <c r="HB134" s="134"/>
      <c r="HC134" s="134"/>
      <c r="HD134" s="134"/>
      <c r="HE134" s="134"/>
      <c r="HF134" s="134"/>
      <c r="HG134" s="134"/>
      <c r="HH134" s="134"/>
      <c r="HI134" s="134"/>
      <c r="HJ134" s="134"/>
      <c r="HK134" s="134"/>
      <c r="HL134" s="134"/>
      <c r="HM134" s="134"/>
      <c r="HN134" s="134"/>
      <c r="HO134" s="134"/>
      <c r="HP134" s="134"/>
      <c r="HQ134" s="134"/>
      <c r="HR134" s="134"/>
      <c r="HS134" s="134"/>
      <c r="HT134" s="134"/>
      <c r="HU134" s="134"/>
      <c r="HV134" s="134"/>
      <c r="HW134" s="134"/>
      <c r="HX134" s="134"/>
      <c r="HY134" s="134"/>
      <c r="HZ134" s="134"/>
      <c r="IA134" s="134"/>
      <c r="IB134" s="134"/>
      <c r="IC134" s="134"/>
      <c r="ID134" s="134"/>
      <c r="IE134" s="134"/>
      <c r="IF134" s="134"/>
      <c r="IG134" s="134"/>
      <c r="IH134" s="134"/>
      <c r="II134" s="134"/>
      <c r="IJ134" s="134"/>
      <c r="IK134" s="134"/>
      <c r="IL134" s="134"/>
      <c r="IM134" s="134"/>
      <c r="IN134" s="134"/>
      <c r="IO134" s="134"/>
      <c r="IP134" s="134"/>
      <c r="IQ134" s="134"/>
      <c r="IR134" s="134"/>
      <c r="IS134" s="134"/>
      <c r="IT134" s="134"/>
      <c r="IU134" s="134"/>
    </row>
    <row r="135" spans="1:255" ht="75" x14ac:dyDescent="0.2">
      <c r="A135" s="236" t="str">
        <f>'HECVAT - Full'!A135</f>
        <v>DATA-09</v>
      </c>
      <c r="B135" s="236" t="str">
        <f>VLOOKUP(A135,'HECVAT - Full'!A$24:B$312,2,FALSE)</f>
        <v>Will the institution's data be available within the system for a period of time at the completion of this contract?</v>
      </c>
      <c r="C135" s="266" t="s">
        <v>3024</v>
      </c>
      <c r="D135" s="250" t="s">
        <v>2819</v>
      </c>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c r="CZ135" s="134"/>
      <c r="DA135" s="134"/>
      <c r="DB135" s="134"/>
      <c r="DC135" s="134"/>
      <c r="DD135" s="134"/>
      <c r="DE135" s="134"/>
      <c r="DF135" s="134"/>
      <c r="DG135" s="134"/>
      <c r="DH135" s="134"/>
      <c r="DI135" s="134"/>
      <c r="DJ135" s="134"/>
      <c r="DK135" s="134"/>
      <c r="DL135" s="134"/>
      <c r="DM135" s="134"/>
      <c r="DN135" s="134"/>
      <c r="DO135" s="134"/>
      <c r="DP135" s="134"/>
      <c r="DQ135" s="134"/>
      <c r="DR135" s="134"/>
      <c r="DS135" s="134"/>
      <c r="DT135" s="134"/>
      <c r="DU135" s="134"/>
      <c r="DV135" s="134"/>
      <c r="DW135" s="134"/>
      <c r="DX135" s="134"/>
      <c r="DY135" s="134"/>
      <c r="DZ135" s="134"/>
      <c r="EA135" s="134"/>
      <c r="EB135" s="134"/>
      <c r="EC135" s="134"/>
      <c r="ED135" s="134"/>
      <c r="EE135" s="134"/>
      <c r="EF135" s="134"/>
      <c r="EG135" s="134"/>
      <c r="EH135" s="134"/>
      <c r="EI135" s="134"/>
      <c r="EJ135" s="134"/>
      <c r="EK135" s="134"/>
      <c r="EL135" s="134"/>
      <c r="EM135" s="134"/>
      <c r="EN135" s="134"/>
      <c r="EO135" s="134"/>
      <c r="EP135" s="134"/>
      <c r="EQ135" s="134"/>
      <c r="ER135" s="134"/>
      <c r="ES135" s="134"/>
      <c r="ET135" s="134"/>
      <c r="EU135" s="134"/>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4"/>
      <c r="FS135" s="134"/>
      <c r="FT135" s="134"/>
      <c r="FU135" s="134"/>
      <c r="FV135" s="134"/>
      <c r="FW135" s="134"/>
      <c r="FX135" s="134"/>
      <c r="FY135" s="134"/>
      <c r="FZ135" s="134"/>
      <c r="GA135" s="134"/>
      <c r="GB135" s="134"/>
      <c r="GC135" s="134"/>
      <c r="GD135" s="134"/>
      <c r="GE135" s="134"/>
      <c r="GF135" s="134"/>
      <c r="GG135" s="134"/>
      <c r="GH135" s="134"/>
      <c r="GI135" s="134"/>
      <c r="GJ135" s="134"/>
      <c r="GK135" s="134"/>
      <c r="GL135" s="134"/>
      <c r="GM135" s="134"/>
      <c r="GN135" s="134"/>
      <c r="GO135" s="134"/>
      <c r="GP135" s="134"/>
      <c r="GQ135" s="134"/>
      <c r="GR135" s="134"/>
      <c r="GS135" s="134"/>
      <c r="GT135" s="134"/>
      <c r="GU135" s="134"/>
      <c r="GV135" s="134"/>
      <c r="GW135" s="134"/>
      <c r="GX135" s="134"/>
      <c r="GY135" s="134"/>
      <c r="GZ135" s="134"/>
      <c r="HA135" s="134"/>
      <c r="HB135" s="134"/>
      <c r="HC135" s="134"/>
      <c r="HD135" s="134"/>
      <c r="HE135" s="134"/>
      <c r="HF135" s="134"/>
      <c r="HG135" s="134"/>
      <c r="HH135" s="134"/>
      <c r="HI135" s="134"/>
      <c r="HJ135" s="134"/>
      <c r="HK135" s="134"/>
      <c r="HL135" s="134"/>
      <c r="HM135" s="134"/>
      <c r="HN135" s="134"/>
      <c r="HO135" s="134"/>
      <c r="HP135" s="134"/>
      <c r="HQ135" s="134"/>
      <c r="HR135" s="134"/>
      <c r="HS135" s="134"/>
      <c r="HT135" s="134"/>
      <c r="HU135" s="134"/>
      <c r="HV135" s="134"/>
      <c r="HW135" s="134"/>
      <c r="HX135" s="134"/>
      <c r="HY135" s="134"/>
      <c r="HZ135" s="134"/>
      <c r="IA135" s="134"/>
      <c r="IB135" s="134"/>
      <c r="IC135" s="134"/>
      <c r="ID135" s="134"/>
      <c r="IE135" s="134"/>
      <c r="IF135" s="134"/>
      <c r="IG135" s="134"/>
      <c r="IH135" s="134"/>
      <c r="II135" s="134"/>
      <c r="IJ135" s="134"/>
      <c r="IK135" s="134"/>
      <c r="IL135" s="134"/>
      <c r="IM135" s="134"/>
      <c r="IN135" s="134"/>
      <c r="IO135" s="134"/>
      <c r="IP135" s="134"/>
      <c r="IQ135" s="134"/>
      <c r="IR135" s="134"/>
      <c r="IS135" s="134"/>
      <c r="IT135" s="134"/>
      <c r="IU135" s="134"/>
    </row>
    <row r="136" spans="1:255" ht="75" x14ac:dyDescent="0.2">
      <c r="A136" s="236" t="str">
        <f>'HECVAT - Full'!A136</f>
        <v>DATA-10</v>
      </c>
      <c r="B136" s="236" t="str">
        <f>VLOOKUP(A136,'HECVAT - Full'!A$24:B$312,2,FALSE)</f>
        <v>Can the institution extract a full backup of data?</v>
      </c>
      <c r="C136" s="266" t="s">
        <v>3025</v>
      </c>
      <c r="D136" s="250" t="s">
        <v>2819</v>
      </c>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c r="CZ136" s="134"/>
      <c r="DA136" s="134"/>
      <c r="DB136" s="134"/>
      <c r="DC136" s="134"/>
      <c r="DD136" s="134"/>
      <c r="DE136" s="134"/>
      <c r="DF136" s="134"/>
      <c r="DG136" s="134"/>
      <c r="DH136" s="134"/>
      <c r="DI136" s="134"/>
      <c r="DJ136" s="134"/>
      <c r="DK136" s="134"/>
      <c r="DL136" s="134"/>
      <c r="DM136" s="134"/>
      <c r="DN136" s="134"/>
      <c r="DO136" s="134"/>
      <c r="DP136" s="134"/>
      <c r="DQ136" s="134"/>
      <c r="DR136" s="134"/>
      <c r="DS136" s="134"/>
      <c r="DT136" s="134"/>
      <c r="DU136" s="134"/>
      <c r="DV136" s="134"/>
      <c r="DW136" s="134"/>
      <c r="DX136" s="134"/>
      <c r="DY136" s="134"/>
      <c r="DZ136" s="134"/>
      <c r="EA136" s="134"/>
      <c r="EB136" s="134"/>
      <c r="EC136" s="134"/>
      <c r="ED136" s="134"/>
      <c r="EE136" s="134"/>
      <c r="EF136" s="134"/>
      <c r="EG136" s="134"/>
      <c r="EH136" s="134"/>
      <c r="EI136" s="134"/>
      <c r="EJ136" s="134"/>
      <c r="EK136" s="134"/>
      <c r="EL136" s="134"/>
      <c r="EM136" s="134"/>
      <c r="EN136" s="134"/>
      <c r="EO136" s="134"/>
      <c r="EP136" s="134"/>
      <c r="EQ136" s="134"/>
      <c r="ER136" s="134"/>
      <c r="ES136" s="134"/>
      <c r="ET136" s="134"/>
      <c r="EU136" s="134"/>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4"/>
      <c r="FS136" s="134"/>
      <c r="FT136" s="134"/>
      <c r="FU136" s="134"/>
      <c r="FV136" s="134"/>
      <c r="FW136" s="134"/>
      <c r="FX136" s="134"/>
      <c r="FY136" s="134"/>
      <c r="FZ136" s="134"/>
      <c r="GA136" s="134"/>
      <c r="GB136" s="134"/>
      <c r="GC136" s="134"/>
      <c r="GD136" s="134"/>
      <c r="GE136" s="134"/>
      <c r="GF136" s="134"/>
      <c r="GG136" s="134"/>
      <c r="GH136" s="134"/>
      <c r="GI136" s="134"/>
      <c r="GJ136" s="134"/>
      <c r="GK136" s="134"/>
      <c r="GL136" s="134"/>
      <c r="GM136" s="134"/>
      <c r="GN136" s="134"/>
      <c r="GO136" s="134"/>
      <c r="GP136" s="134"/>
      <c r="GQ136" s="134"/>
      <c r="GR136" s="134"/>
      <c r="GS136" s="134"/>
      <c r="GT136" s="134"/>
      <c r="GU136" s="134"/>
      <c r="GV136" s="134"/>
      <c r="GW136" s="134"/>
      <c r="GX136" s="134"/>
      <c r="GY136" s="134"/>
      <c r="GZ136" s="134"/>
      <c r="HA136" s="134"/>
      <c r="HB136" s="134"/>
      <c r="HC136" s="134"/>
      <c r="HD136" s="134"/>
      <c r="HE136" s="134"/>
      <c r="HF136" s="134"/>
      <c r="HG136" s="134"/>
      <c r="HH136" s="134"/>
      <c r="HI136" s="134"/>
      <c r="HJ136" s="134"/>
      <c r="HK136" s="134"/>
      <c r="HL136" s="134"/>
      <c r="HM136" s="134"/>
      <c r="HN136" s="134"/>
      <c r="HO136" s="134"/>
      <c r="HP136" s="134"/>
      <c r="HQ136" s="134"/>
      <c r="HR136" s="134"/>
      <c r="HS136" s="134"/>
      <c r="HT136" s="134"/>
      <c r="HU136" s="134"/>
      <c r="HV136" s="134"/>
      <c r="HW136" s="134"/>
      <c r="HX136" s="134"/>
      <c r="HY136" s="134"/>
      <c r="HZ136" s="134"/>
      <c r="IA136" s="134"/>
      <c r="IB136" s="134"/>
      <c r="IC136" s="134"/>
      <c r="ID136" s="134"/>
      <c r="IE136" s="134"/>
      <c r="IF136" s="134"/>
      <c r="IG136" s="134"/>
      <c r="IH136" s="134"/>
      <c r="II136" s="134"/>
      <c r="IJ136" s="134"/>
      <c r="IK136" s="134"/>
      <c r="IL136" s="134"/>
      <c r="IM136" s="134"/>
      <c r="IN136" s="134"/>
      <c r="IO136" s="134"/>
      <c r="IP136" s="134"/>
      <c r="IQ136" s="134"/>
      <c r="IR136" s="134"/>
      <c r="IS136" s="134"/>
      <c r="IT136" s="134"/>
      <c r="IU136" s="134"/>
    </row>
    <row r="137" spans="1:255" ht="92.25" customHeight="1" x14ac:dyDescent="0.2">
      <c r="A137" s="236" t="str">
        <f>'HECVAT - Full'!A137</f>
        <v>DATA-11</v>
      </c>
      <c r="B137" s="236" t="str">
        <f>VLOOKUP(A137,'HECVAT - Full'!A$24:B$312,2,FALSE)</f>
        <v>Are ownership rights to all data, inputs, outputs, and metadata retained by the institution?</v>
      </c>
      <c r="C137" s="249" t="s">
        <v>2820</v>
      </c>
      <c r="D137" s="250" t="s">
        <v>2821</v>
      </c>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134"/>
      <c r="GY137" s="134"/>
      <c r="GZ137" s="134"/>
      <c r="HA137" s="134"/>
      <c r="HB137" s="134"/>
      <c r="HC137" s="134"/>
      <c r="HD137" s="134"/>
      <c r="HE137" s="134"/>
      <c r="HF137" s="134"/>
      <c r="HG137" s="134"/>
      <c r="HH137" s="134"/>
      <c r="HI137" s="134"/>
      <c r="HJ137" s="134"/>
      <c r="HK137" s="134"/>
      <c r="HL137" s="134"/>
      <c r="HM137" s="134"/>
      <c r="HN137" s="134"/>
      <c r="HO137" s="134"/>
      <c r="HP137" s="134"/>
      <c r="HQ137" s="134"/>
      <c r="HR137" s="134"/>
      <c r="HS137" s="134"/>
      <c r="HT137" s="134"/>
      <c r="HU137" s="134"/>
      <c r="HV137" s="134"/>
      <c r="HW137" s="134"/>
      <c r="HX137" s="134"/>
      <c r="HY137" s="134"/>
      <c r="HZ137" s="134"/>
      <c r="IA137" s="134"/>
      <c r="IB137" s="134"/>
      <c r="IC137" s="134"/>
      <c r="ID137" s="134"/>
      <c r="IE137" s="134"/>
      <c r="IF137" s="134"/>
      <c r="IG137" s="134"/>
      <c r="IH137" s="134"/>
      <c r="II137" s="134"/>
      <c r="IJ137" s="134"/>
      <c r="IK137" s="134"/>
      <c r="IL137" s="134"/>
      <c r="IM137" s="134"/>
      <c r="IN137" s="134"/>
      <c r="IO137" s="134"/>
      <c r="IP137" s="134"/>
      <c r="IQ137" s="134"/>
      <c r="IR137" s="134"/>
      <c r="IS137" s="134"/>
      <c r="IT137" s="134"/>
      <c r="IU137" s="134"/>
    </row>
    <row r="138" spans="1:255" ht="63.75" customHeight="1" x14ac:dyDescent="0.2">
      <c r="A138" s="236" t="str">
        <f>'HECVAT - Full'!A138</f>
        <v>DATA-12</v>
      </c>
      <c r="B138" s="236" t="str">
        <f>VLOOKUP(A138,'HECVAT - Full'!A$24:B$312,2,FALSE)</f>
        <v>Are these rights retained even through a provider acquisition or bankruptcy event?</v>
      </c>
      <c r="C138" s="249" t="s">
        <v>2822</v>
      </c>
      <c r="D138" s="250" t="s">
        <v>2821</v>
      </c>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c r="CZ138" s="134"/>
      <c r="DA138" s="134"/>
      <c r="DB138" s="134"/>
      <c r="DC138" s="134"/>
      <c r="DD138" s="134"/>
      <c r="DE138" s="134"/>
      <c r="DF138" s="134"/>
      <c r="DG138" s="134"/>
      <c r="DH138" s="134"/>
      <c r="DI138" s="134"/>
      <c r="DJ138" s="134"/>
      <c r="DK138" s="134"/>
      <c r="DL138" s="134"/>
      <c r="DM138" s="134"/>
      <c r="DN138" s="134"/>
      <c r="DO138" s="134"/>
      <c r="DP138" s="134"/>
      <c r="DQ138" s="134"/>
      <c r="DR138" s="134"/>
      <c r="DS138" s="134"/>
      <c r="DT138" s="134"/>
      <c r="DU138" s="134"/>
      <c r="DV138" s="134"/>
      <c r="DW138" s="134"/>
      <c r="DX138" s="134"/>
      <c r="DY138" s="134"/>
      <c r="DZ138" s="134"/>
      <c r="EA138" s="134"/>
      <c r="EB138" s="134"/>
      <c r="EC138" s="134"/>
      <c r="ED138" s="134"/>
      <c r="EE138" s="134"/>
      <c r="EF138" s="134"/>
      <c r="EG138" s="134"/>
      <c r="EH138" s="134"/>
      <c r="EI138" s="134"/>
      <c r="EJ138" s="134"/>
      <c r="EK138" s="134"/>
      <c r="EL138" s="134"/>
      <c r="EM138" s="134"/>
      <c r="EN138" s="134"/>
      <c r="EO138" s="134"/>
      <c r="EP138" s="134"/>
      <c r="EQ138" s="134"/>
      <c r="ER138" s="134"/>
      <c r="ES138" s="134"/>
      <c r="ET138" s="134"/>
      <c r="EU138" s="134"/>
      <c r="EV138" s="134"/>
      <c r="EW138" s="134"/>
      <c r="EX138" s="134"/>
      <c r="EY138" s="134"/>
      <c r="EZ138" s="134"/>
      <c r="FA138" s="134"/>
      <c r="FB138" s="134"/>
      <c r="FC138" s="134"/>
      <c r="FD138" s="134"/>
      <c r="FE138" s="134"/>
      <c r="FF138" s="134"/>
      <c r="FG138" s="134"/>
      <c r="FH138" s="134"/>
      <c r="FI138" s="134"/>
      <c r="FJ138" s="134"/>
      <c r="FK138" s="134"/>
      <c r="FL138" s="134"/>
      <c r="FM138" s="134"/>
      <c r="FN138" s="134"/>
      <c r="FO138" s="134"/>
      <c r="FP138" s="134"/>
      <c r="FQ138" s="134"/>
      <c r="FR138" s="134"/>
      <c r="FS138" s="134"/>
      <c r="FT138" s="134"/>
      <c r="FU138" s="134"/>
      <c r="FV138" s="134"/>
      <c r="FW138" s="134"/>
      <c r="FX138" s="134"/>
      <c r="FY138" s="134"/>
      <c r="FZ138" s="134"/>
      <c r="GA138" s="134"/>
      <c r="GB138" s="134"/>
      <c r="GC138" s="134"/>
      <c r="GD138" s="134"/>
      <c r="GE138" s="134"/>
      <c r="GF138" s="134"/>
      <c r="GG138" s="134"/>
      <c r="GH138" s="134"/>
      <c r="GI138" s="134"/>
      <c r="GJ138" s="134"/>
      <c r="GK138" s="134"/>
      <c r="GL138" s="134"/>
      <c r="GM138" s="134"/>
      <c r="GN138" s="134"/>
      <c r="GO138" s="134"/>
      <c r="GP138" s="134"/>
      <c r="GQ138" s="134"/>
      <c r="GR138" s="134"/>
      <c r="GS138" s="134"/>
      <c r="GT138" s="134"/>
      <c r="GU138" s="134"/>
      <c r="GV138" s="134"/>
      <c r="GW138" s="134"/>
      <c r="GX138" s="134"/>
      <c r="GY138" s="134"/>
      <c r="GZ138" s="134"/>
      <c r="HA138" s="134"/>
      <c r="HB138" s="134"/>
      <c r="HC138" s="134"/>
      <c r="HD138" s="134"/>
      <c r="HE138" s="134"/>
      <c r="HF138" s="134"/>
      <c r="HG138" s="134"/>
      <c r="HH138" s="134"/>
      <c r="HI138" s="134"/>
      <c r="HJ138" s="134"/>
      <c r="HK138" s="134"/>
      <c r="HL138" s="134"/>
      <c r="HM138" s="134"/>
      <c r="HN138" s="134"/>
      <c r="HO138" s="134"/>
      <c r="HP138" s="134"/>
      <c r="HQ138" s="134"/>
      <c r="HR138" s="134"/>
      <c r="HS138" s="134"/>
      <c r="HT138" s="134"/>
      <c r="HU138" s="134"/>
      <c r="HV138" s="134"/>
      <c r="HW138" s="134"/>
      <c r="HX138" s="134"/>
      <c r="HY138" s="134"/>
      <c r="HZ138" s="134"/>
      <c r="IA138" s="134"/>
      <c r="IB138" s="134"/>
      <c r="IC138" s="134"/>
      <c r="ID138" s="134"/>
      <c r="IE138" s="134"/>
      <c r="IF138" s="134"/>
      <c r="IG138" s="134"/>
      <c r="IH138" s="134"/>
      <c r="II138" s="134"/>
      <c r="IJ138" s="134"/>
      <c r="IK138" s="134"/>
      <c r="IL138" s="134"/>
      <c r="IM138" s="134"/>
      <c r="IN138" s="134"/>
      <c r="IO138" s="134"/>
      <c r="IP138" s="134"/>
      <c r="IQ138" s="134"/>
      <c r="IR138" s="134"/>
      <c r="IS138" s="134"/>
      <c r="IT138" s="134"/>
      <c r="IU138" s="134"/>
    </row>
    <row r="139" spans="1:255" ht="64.5" customHeight="1" x14ac:dyDescent="0.2">
      <c r="A139" s="236" t="str">
        <f>'HECVAT - Full'!A139</f>
        <v>DATA-13</v>
      </c>
      <c r="B139" s="236" t="str">
        <f>VLOOKUP(A139,'HECVAT - Full'!A$24:B$312,2,FALSE)</f>
        <v>In the event of imminent bankruptcy, closing of business, or retirement of service, will you provide 90 days for customers to get their data out of the system and migrate applications?</v>
      </c>
      <c r="C139" s="249" t="s">
        <v>2822</v>
      </c>
      <c r="D139" s="250" t="s">
        <v>2821</v>
      </c>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4"/>
      <c r="DF139" s="134"/>
      <c r="DG139" s="134"/>
      <c r="DH139" s="134"/>
      <c r="DI139" s="134"/>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c r="FW139" s="134"/>
      <c r="FX139" s="134"/>
      <c r="FY139" s="134"/>
      <c r="FZ139" s="134"/>
      <c r="GA139" s="134"/>
      <c r="GB139" s="134"/>
      <c r="GC139" s="134"/>
      <c r="GD139" s="134"/>
      <c r="GE139" s="134"/>
      <c r="GF139" s="134"/>
      <c r="GG139" s="134"/>
      <c r="GH139" s="134"/>
      <c r="GI139" s="134"/>
      <c r="GJ139" s="134"/>
      <c r="GK139" s="134"/>
      <c r="GL139" s="134"/>
      <c r="GM139" s="134"/>
      <c r="GN139" s="134"/>
      <c r="GO139" s="134"/>
      <c r="GP139" s="134"/>
      <c r="GQ139" s="134"/>
      <c r="GR139" s="134"/>
      <c r="GS139" s="134"/>
      <c r="GT139" s="134"/>
      <c r="GU139" s="134"/>
      <c r="GV139" s="134"/>
      <c r="GW139" s="134"/>
      <c r="GX139" s="134"/>
      <c r="GY139" s="134"/>
      <c r="GZ139" s="134"/>
      <c r="HA139" s="134"/>
      <c r="HB139" s="134"/>
      <c r="HC139" s="134"/>
      <c r="HD139" s="134"/>
      <c r="HE139" s="134"/>
      <c r="HF139" s="134"/>
      <c r="HG139" s="134"/>
      <c r="HH139" s="134"/>
      <c r="HI139" s="134"/>
      <c r="HJ139" s="134"/>
      <c r="HK139" s="134"/>
      <c r="HL139" s="134"/>
      <c r="HM139" s="134"/>
      <c r="HN139" s="134"/>
      <c r="HO139" s="134"/>
      <c r="HP139" s="134"/>
      <c r="HQ139" s="134"/>
      <c r="HR139" s="134"/>
      <c r="HS139" s="134"/>
      <c r="HT139" s="134"/>
      <c r="HU139" s="134"/>
      <c r="HV139" s="134"/>
      <c r="HW139" s="134"/>
      <c r="HX139" s="134"/>
      <c r="HY139" s="134"/>
      <c r="HZ139" s="134"/>
      <c r="IA139" s="134"/>
      <c r="IB139" s="134"/>
      <c r="IC139" s="134"/>
      <c r="ID139" s="134"/>
      <c r="IE139" s="134"/>
      <c r="IF139" s="134"/>
      <c r="IG139" s="134"/>
      <c r="IH139" s="134"/>
      <c r="II139" s="134"/>
      <c r="IJ139" s="134"/>
      <c r="IK139" s="134"/>
      <c r="IL139" s="134"/>
      <c r="IM139" s="134"/>
      <c r="IN139" s="134"/>
      <c r="IO139" s="134"/>
      <c r="IP139" s="134"/>
      <c r="IQ139" s="134"/>
      <c r="IR139" s="134"/>
      <c r="IS139" s="134"/>
      <c r="IT139" s="134"/>
      <c r="IU139" s="134"/>
    </row>
    <row r="140" spans="1:255" ht="63" customHeight="1" x14ac:dyDescent="0.2">
      <c r="A140" s="236" t="str">
        <f>'HECVAT - Full'!A140</f>
        <v>DATA-14</v>
      </c>
      <c r="B140" s="236" t="str">
        <f>VLOOKUP(A140,'HECVAT - Full'!A$24:B$312,2,FALSE)</f>
        <v xml:space="preserve">Describe or provide a reference to the backup processes for the servers on which the service and/or data resides. </v>
      </c>
      <c r="C140" s="249" t="s">
        <v>2823</v>
      </c>
      <c r="D140" s="250" t="s">
        <v>2824</v>
      </c>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c r="CZ140" s="134"/>
      <c r="DA140" s="134"/>
      <c r="DB140" s="134"/>
      <c r="DC140" s="134"/>
      <c r="DD140" s="134"/>
      <c r="DE140" s="134"/>
      <c r="DF140" s="134"/>
      <c r="DG140" s="134"/>
      <c r="DH140" s="134"/>
      <c r="DI140" s="134"/>
      <c r="DJ140" s="134"/>
      <c r="DK140" s="134"/>
      <c r="DL140" s="134"/>
      <c r="DM140" s="134"/>
      <c r="DN140" s="134"/>
      <c r="DO140" s="134"/>
      <c r="DP140" s="134"/>
      <c r="DQ140" s="134"/>
      <c r="DR140" s="134"/>
      <c r="DS140" s="134"/>
      <c r="DT140" s="134"/>
      <c r="DU140" s="134"/>
      <c r="DV140" s="134"/>
      <c r="DW140" s="134"/>
      <c r="DX140" s="134"/>
      <c r="DY140" s="134"/>
      <c r="DZ140" s="134"/>
      <c r="EA140" s="134"/>
      <c r="EB140" s="134"/>
      <c r="EC140" s="134"/>
      <c r="ED140" s="134"/>
      <c r="EE140" s="134"/>
      <c r="EF140" s="134"/>
      <c r="EG140" s="134"/>
      <c r="EH140" s="134"/>
      <c r="EI140" s="134"/>
      <c r="EJ140" s="134"/>
      <c r="EK140" s="134"/>
      <c r="EL140" s="134"/>
      <c r="EM140" s="134"/>
      <c r="EN140" s="134"/>
      <c r="EO140" s="134"/>
      <c r="EP140" s="134"/>
      <c r="EQ140" s="134"/>
      <c r="ER140" s="134"/>
      <c r="ES140" s="134"/>
      <c r="ET140" s="134"/>
      <c r="EU140" s="134"/>
      <c r="EV140" s="134"/>
      <c r="EW140" s="134"/>
      <c r="EX140" s="134"/>
      <c r="EY140" s="134"/>
      <c r="EZ140" s="134"/>
      <c r="FA140" s="134"/>
      <c r="FB140" s="134"/>
      <c r="FC140" s="134"/>
      <c r="FD140" s="134"/>
      <c r="FE140" s="134"/>
      <c r="FF140" s="134"/>
      <c r="FG140" s="134"/>
      <c r="FH140" s="134"/>
      <c r="FI140" s="134"/>
      <c r="FJ140" s="134"/>
      <c r="FK140" s="134"/>
      <c r="FL140" s="134"/>
      <c r="FM140" s="134"/>
      <c r="FN140" s="134"/>
      <c r="FO140" s="134"/>
      <c r="FP140" s="134"/>
      <c r="FQ140" s="134"/>
      <c r="FR140" s="134"/>
      <c r="FS140" s="134"/>
      <c r="FT140" s="134"/>
      <c r="FU140" s="134"/>
      <c r="FV140" s="134"/>
      <c r="FW140" s="134"/>
      <c r="FX140" s="134"/>
      <c r="FY140" s="134"/>
      <c r="FZ140" s="134"/>
      <c r="GA140" s="134"/>
      <c r="GB140" s="134"/>
      <c r="GC140" s="134"/>
      <c r="GD140" s="134"/>
      <c r="GE140" s="134"/>
      <c r="GF140" s="134"/>
      <c r="GG140" s="134"/>
      <c r="GH140" s="134"/>
      <c r="GI140" s="134"/>
      <c r="GJ140" s="134"/>
      <c r="GK140" s="134"/>
      <c r="GL140" s="134"/>
      <c r="GM140" s="134"/>
      <c r="GN140" s="134"/>
      <c r="GO140" s="134"/>
      <c r="GP140" s="134"/>
      <c r="GQ140" s="134"/>
      <c r="GR140" s="134"/>
      <c r="GS140" s="134"/>
      <c r="GT140" s="134"/>
      <c r="GU140" s="134"/>
      <c r="GV140" s="134"/>
      <c r="GW140" s="134"/>
      <c r="GX140" s="134"/>
      <c r="GY140" s="134"/>
      <c r="GZ140" s="134"/>
      <c r="HA140" s="134"/>
      <c r="HB140" s="134"/>
      <c r="HC140" s="134"/>
      <c r="HD140" s="134"/>
      <c r="HE140" s="134"/>
      <c r="HF140" s="134"/>
      <c r="HG140" s="134"/>
      <c r="HH140" s="134"/>
      <c r="HI140" s="134"/>
      <c r="HJ140" s="134"/>
      <c r="HK140" s="134"/>
      <c r="HL140" s="134"/>
      <c r="HM140" s="134"/>
      <c r="HN140" s="134"/>
      <c r="HO140" s="134"/>
      <c r="HP140" s="134"/>
      <c r="HQ140" s="134"/>
      <c r="HR140" s="134"/>
      <c r="HS140" s="134"/>
      <c r="HT140" s="134"/>
      <c r="HU140" s="134"/>
      <c r="HV140" s="134"/>
      <c r="HW140" s="134"/>
      <c r="HX140" s="134"/>
      <c r="HY140" s="134"/>
      <c r="HZ140" s="134"/>
      <c r="IA140" s="134"/>
      <c r="IB140" s="134"/>
      <c r="IC140" s="134"/>
      <c r="ID140" s="134"/>
      <c r="IE140" s="134"/>
      <c r="IF140" s="134"/>
      <c r="IG140" s="134"/>
      <c r="IH140" s="134"/>
      <c r="II140" s="134"/>
      <c r="IJ140" s="134"/>
      <c r="IK140" s="134"/>
      <c r="IL140" s="134"/>
      <c r="IM140" s="134"/>
      <c r="IN140" s="134"/>
      <c r="IO140" s="134"/>
      <c r="IP140" s="134"/>
      <c r="IQ140" s="134"/>
      <c r="IR140" s="134"/>
      <c r="IS140" s="134"/>
      <c r="IT140" s="134"/>
      <c r="IU140" s="134"/>
    </row>
    <row r="141" spans="1:255" ht="80.25" customHeight="1" x14ac:dyDescent="0.2">
      <c r="A141" s="236" t="str">
        <f>'HECVAT - Full'!A141</f>
        <v>DATA-15</v>
      </c>
      <c r="B141" s="236" t="str">
        <f>VLOOKUP(A141,'HECVAT - Full'!A$24:B$312,2,FALSE)</f>
        <v>Are backup copies made according to pre-defined schedules and securely stored and protected?</v>
      </c>
      <c r="C141" s="249" t="s">
        <v>2825</v>
      </c>
      <c r="D141" s="250" t="s">
        <v>2826</v>
      </c>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K141" s="134"/>
      <c r="CL141" s="134"/>
      <c r="CM141" s="134"/>
      <c r="CN141" s="134"/>
      <c r="CO141" s="134"/>
      <c r="CP141" s="134"/>
      <c r="CQ141" s="134"/>
      <c r="CR141" s="134"/>
      <c r="CS141" s="134"/>
      <c r="CT141" s="134"/>
      <c r="CU141" s="134"/>
      <c r="CV141" s="134"/>
      <c r="CW141" s="134"/>
      <c r="CX141" s="134"/>
      <c r="CY141" s="134"/>
      <c r="CZ141" s="134"/>
      <c r="DA141" s="134"/>
      <c r="DB141" s="134"/>
      <c r="DC141" s="134"/>
      <c r="DD141" s="134"/>
      <c r="DE141" s="134"/>
      <c r="DF141" s="134"/>
      <c r="DG141" s="134"/>
      <c r="DH141" s="134"/>
      <c r="DI141" s="134"/>
      <c r="DJ141" s="134"/>
      <c r="DK141" s="134"/>
      <c r="DL141" s="134"/>
      <c r="DM141" s="134"/>
      <c r="DN141" s="134"/>
      <c r="DO141" s="134"/>
      <c r="DP141" s="134"/>
      <c r="DQ141" s="134"/>
      <c r="DR141" s="134"/>
      <c r="DS141" s="134"/>
      <c r="DT141" s="134"/>
      <c r="DU141" s="134"/>
      <c r="DV141" s="134"/>
      <c r="DW141" s="134"/>
      <c r="DX141" s="134"/>
      <c r="DY141" s="134"/>
      <c r="DZ141" s="134"/>
      <c r="EA141" s="134"/>
      <c r="EB141" s="134"/>
      <c r="EC141" s="134"/>
      <c r="ED141" s="134"/>
      <c r="EE141" s="134"/>
      <c r="EF141" s="134"/>
      <c r="EG141" s="134"/>
      <c r="EH141" s="134"/>
      <c r="EI141" s="134"/>
      <c r="EJ141" s="134"/>
      <c r="EK141" s="134"/>
      <c r="EL141" s="134"/>
      <c r="EM141" s="134"/>
      <c r="EN141" s="134"/>
      <c r="EO141" s="134"/>
      <c r="EP141" s="134"/>
      <c r="EQ141" s="134"/>
      <c r="ER141" s="134"/>
      <c r="ES141" s="134"/>
      <c r="ET141" s="134"/>
      <c r="EU141" s="134"/>
      <c r="EV141" s="134"/>
      <c r="EW141" s="134"/>
      <c r="EX141" s="134"/>
      <c r="EY141" s="134"/>
      <c r="EZ141" s="134"/>
      <c r="FA141" s="134"/>
      <c r="FB141" s="134"/>
      <c r="FC141" s="134"/>
      <c r="FD141" s="134"/>
      <c r="FE141" s="134"/>
      <c r="FF141" s="134"/>
      <c r="FG141" s="134"/>
      <c r="FH141" s="134"/>
      <c r="FI141" s="134"/>
      <c r="FJ141" s="134"/>
      <c r="FK141" s="134"/>
      <c r="FL141" s="134"/>
      <c r="FM141" s="134"/>
      <c r="FN141" s="134"/>
      <c r="FO141" s="134"/>
      <c r="FP141" s="134"/>
      <c r="FQ141" s="134"/>
      <c r="FR141" s="134"/>
      <c r="FS141" s="134"/>
      <c r="FT141" s="134"/>
      <c r="FU141" s="134"/>
      <c r="FV141" s="134"/>
      <c r="FW141" s="134"/>
      <c r="FX141" s="134"/>
      <c r="FY141" s="134"/>
      <c r="FZ141" s="134"/>
      <c r="GA141" s="134"/>
      <c r="GB141" s="134"/>
      <c r="GC141" s="134"/>
      <c r="GD141" s="134"/>
      <c r="GE141" s="134"/>
      <c r="GF141" s="134"/>
      <c r="GG141" s="134"/>
      <c r="GH141" s="134"/>
      <c r="GI141" s="134"/>
      <c r="GJ141" s="134"/>
      <c r="GK141" s="134"/>
      <c r="GL141" s="134"/>
      <c r="GM141" s="134"/>
      <c r="GN141" s="134"/>
      <c r="GO141" s="134"/>
      <c r="GP141" s="134"/>
      <c r="GQ141" s="134"/>
      <c r="GR141" s="134"/>
      <c r="GS141" s="134"/>
      <c r="GT141" s="134"/>
      <c r="GU141" s="134"/>
      <c r="GV141" s="134"/>
      <c r="GW141" s="134"/>
      <c r="GX141" s="134"/>
      <c r="GY141" s="134"/>
      <c r="GZ141" s="134"/>
      <c r="HA141" s="134"/>
      <c r="HB141" s="134"/>
      <c r="HC141" s="134"/>
      <c r="HD141" s="134"/>
      <c r="HE141" s="134"/>
      <c r="HF141" s="134"/>
      <c r="HG141" s="134"/>
      <c r="HH141" s="134"/>
      <c r="HI141" s="134"/>
      <c r="HJ141" s="134"/>
      <c r="HK141" s="134"/>
      <c r="HL141" s="134"/>
      <c r="HM141" s="134"/>
      <c r="HN141" s="134"/>
      <c r="HO141" s="134"/>
      <c r="HP141" s="134"/>
      <c r="HQ141" s="134"/>
      <c r="HR141" s="134"/>
      <c r="HS141" s="134"/>
      <c r="HT141" s="134"/>
      <c r="HU141" s="134"/>
      <c r="HV141" s="134"/>
      <c r="HW141" s="134"/>
      <c r="HX141" s="134"/>
      <c r="HY141" s="134"/>
      <c r="HZ141" s="134"/>
      <c r="IA141" s="134"/>
      <c r="IB141" s="134"/>
      <c r="IC141" s="134"/>
      <c r="ID141" s="134"/>
      <c r="IE141" s="134"/>
      <c r="IF141" s="134"/>
      <c r="IG141" s="134"/>
      <c r="IH141" s="134"/>
      <c r="II141" s="134"/>
      <c r="IJ141" s="134"/>
      <c r="IK141" s="134"/>
      <c r="IL141" s="134"/>
      <c r="IM141" s="134"/>
      <c r="IN141" s="134"/>
      <c r="IO141" s="134"/>
      <c r="IP141" s="134"/>
      <c r="IQ141" s="134"/>
      <c r="IR141" s="134"/>
      <c r="IS141" s="134"/>
      <c r="IT141" s="134"/>
      <c r="IU141" s="134"/>
    </row>
    <row r="142" spans="1:255" ht="64.5" customHeight="1" x14ac:dyDescent="0.2">
      <c r="A142" s="236" t="str">
        <f>'HECVAT - Full'!A142</f>
        <v>DATA-16</v>
      </c>
      <c r="B142" s="236" t="str">
        <f>VLOOKUP(A142,'HECVAT - Full'!A$24:B$312,2,FALSE)</f>
        <v>How long are data backups stored?</v>
      </c>
      <c r="C142" s="249" t="s">
        <v>2827</v>
      </c>
      <c r="D142" s="250" t="s">
        <v>2828</v>
      </c>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34"/>
      <c r="BQ142" s="134"/>
      <c r="BR142" s="134"/>
      <c r="BS142" s="134"/>
      <c r="BT142" s="134"/>
      <c r="BU142" s="134"/>
      <c r="BV142" s="134"/>
      <c r="BW142" s="134"/>
      <c r="BX142" s="134"/>
      <c r="BY142" s="134"/>
      <c r="BZ142" s="134"/>
      <c r="CA142" s="134"/>
      <c r="CB142" s="134"/>
      <c r="CC142" s="134"/>
      <c r="CD142" s="134"/>
      <c r="CE142" s="134"/>
      <c r="CF142" s="134"/>
      <c r="CG142" s="134"/>
      <c r="CH142" s="134"/>
      <c r="CI142" s="134"/>
      <c r="CJ142" s="134"/>
      <c r="CK142" s="134"/>
      <c r="CL142" s="134"/>
      <c r="CM142" s="134"/>
      <c r="CN142" s="134"/>
      <c r="CO142" s="134"/>
      <c r="CP142" s="134"/>
      <c r="CQ142" s="134"/>
      <c r="CR142" s="134"/>
      <c r="CS142" s="134"/>
      <c r="CT142" s="134"/>
      <c r="CU142" s="134"/>
      <c r="CV142" s="134"/>
      <c r="CW142" s="134"/>
      <c r="CX142" s="134"/>
      <c r="CY142" s="134"/>
      <c r="CZ142" s="134"/>
      <c r="DA142" s="134"/>
      <c r="DB142" s="134"/>
      <c r="DC142" s="134"/>
      <c r="DD142" s="134"/>
      <c r="DE142" s="134"/>
      <c r="DF142" s="134"/>
      <c r="DG142" s="134"/>
      <c r="DH142" s="134"/>
      <c r="DI142" s="134"/>
      <c r="DJ142" s="134"/>
      <c r="DK142" s="134"/>
      <c r="DL142" s="134"/>
      <c r="DM142" s="134"/>
      <c r="DN142" s="134"/>
      <c r="DO142" s="134"/>
      <c r="DP142" s="134"/>
      <c r="DQ142" s="134"/>
      <c r="DR142" s="134"/>
      <c r="DS142" s="134"/>
      <c r="DT142" s="134"/>
      <c r="DU142" s="134"/>
      <c r="DV142" s="134"/>
      <c r="DW142" s="134"/>
      <c r="DX142" s="134"/>
      <c r="DY142" s="134"/>
      <c r="DZ142" s="134"/>
      <c r="EA142" s="134"/>
      <c r="EB142" s="134"/>
      <c r="EC142" s="134"/>
      <c r="ED142" s="134"/>
      <c r="EE142" s="134"/>
      <c r="EF142" s="134"/>
      <c r="EG142" s="134"/>
      <c r="EH142" s="134"/>
      <c r="EI142" s="134"/>
      <c r="EJ142" s="134"/>
      <c r="EK142" s="134"/>
      <c r="EL142" s="134"/>
      <c r="EM142" s="134"/>
      <c r="EN142" s="134"/>
      <c r="EO142" s="134"/>
      <c r="EP142" s="134"/>
      <c r="EQ142" s="134"/>
      <c r="ER142" s="134"/>
      <c r="ES142" s="134"/>
      <c r="ET142" s="134"/>
      <c r="EU142" s="134"/>
      <c r="EV142" s="134"/>
      <c r="EW142" s="134"/>
      <c r="EX142" s="134"/>
      <c r="EY142" s="134"/>
      <c r="EZ142" s="134"/>
      <c r="FA142" s="134"/>
      <c r="FB142" s="134"/>
      <c r="FC142" s="134"/>
      <c r="FD142" s="134"/>
      <c r="FE142" s="134"/>
      <c r="FF142" s="134"/>
      <c r="FG142" s="134"/>
      <c r="FH142" s="134"/>
      <c r="FI142" s="134"/>
      <c r="FJ142" s="134"/>
      <c r="FK142" s="134"/>
      <c r="FL142" s="134"/>
      <c r="FM142" s="134"/>
      <c r="FN142" s="134"/>
      <c r="FO142" s="134"/>
      <c r="FP142" s="134"/>
      <c r="FQ142" s="134"/>
      <c r="FR142" s="134"/>
      <c r="FS142" s="134"/>
      <c r="FT142" s="134"/>
      <c r="FU142" s="134"/>
      <c r="FV142" s="134"/>
      <c r="FW142" s="134"/>
      <c r="FX142" s="134"/>
      <c r="FY142" s="134"/>
      <c r="FZ142" s="134"/>
      <c r="GA142" s="134"/>
      <c r="GB142" s="134"/>
      <c r="GC142" s="134"/>
      <c r="GD142" s="134"/>
      <c r="GE142" s="134"/>
      <c r="GF142" s="134"/>
      <c r="GG142" s="134"/>
      <c r="GH142" s="134"/>
      <c r="GI142" s="134"/>
      <c r="GJ142" s="134"/>
      <c r="GK142" s="134"/>
      <c r="GL142" s="134"/>
      <c r="GM142" s="134"/>
      <c r="GN142" s="134"/>
      <c r="GO142" s="134"/>
      <c r="GP142" s="134"/>
      <c r="GQ142" s="134"/>
      <c r="GR142" s="134"/>
      <c r="GS142" s="134"/>
      <c r="GT142" s="134"/>
      <c r="GU142" s="134"/>
      <c r="GV142" s="134"/>
      <c r="GW142" s="134"/>
      <c r="GX142" s="134"/>
      <c r="GY142" s="134"/>
      <c r="GZ142" s="134"/>
      <c r="HA142" s="134"/>
      <c r="HB142" s="134"/>
      <c r="HC142" s="134"/>
      <c r="HD142" s="134"/>
      <c r="HE142" s="134"/>
      <c r="HF142" s="134"/>
      <c r="HG142" s="134"/>
      <c r="HH142" s="134"/>
      <c r="HI142" s="134"/>
      <c r="HJ142" s="134"/>
      <c r="HK142" s="134"/>
      <c r="HL142" s="134"/>
      <c r="HM142" s="134"/>
      <c r="HN142" s="134"/>
      <c r="HO142" s="134"/>
      <c r="HP142" s="134"/>
      <c r="HQ142" s="134"/>
      <c r="HR142" s="134"/>
      <c r="HS142" s="134"/>
      <c r="HT142" s="134"/>
      <c r="HU142" s="134"/>
      <c r="HV142" s="134"/>
      <c r="HW142" s="134"/>
      <c r="HX142" s="134"/>
      <c r="HY142" s="134"/>
      <c r="HZ142" s="134"/>
      <c r="IA142" s="134"/>
      <c r="IB142" s="134"/>
      <c r="IC142" s="134"/>
      <c r="ID142" s="134"/>
      <c r="IE142" s="134"/>
      <c r="IF142" s="134"/>
      <c r="IG142" s="134"/>
      <c r="IH142" s="134"/>
      <c r="II142" s="134"/>
      <c r="IJ142" s="134"/>
      <c r="IK142" s="134"/>
      <c r="IL142" s="134"/>
      <c r="IM142" s="134"/>
      <c r="IN142" s="134"/>
      <c r="IO142" s="134"/>
      <c r="IP142" s="134"/>
      <c r="IQ142" s="134"/>
      <c r="IR142" s="134"/>
      <c r="IS142" s="134"/>
      <c r="IT142" s="134"/>
      <c r="IU142" s="134"/>
    </row>
    <row r="143" spans="1:255" ht="75" x14ac:dyDescent="0.2">
      <c r="A143" s="236" t="str">
        <f>'HECVAT - Full'!A143</f>
        <v>DATA-17</v>
      </c>
      <c r="B143" s="236" t="str">
        <f>VLOOKUP(A143,'HECVAT - Full'!A$24:B$312,2,FALSE)</f>
        <v>Are data backups encrypted?</v>
      </c>
      <c r="C143" s="239" t="s">
        <v>2829</v>
      </c>
      <c r="D143" s="244" t="s">
        <v>2830</v>
      </c>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4"/>
      <c r="BT143" s="134"/>
      <c r="BU143" s="134"/>
      <c r="BV143" s="134"/>
      <c r="BW143" s="134"/>
      <c r="BX143" s="134"/>
      <c r="BY143" s="134"/>
      <c r="BZ143" s="134"/>
      <c r="CA143" s="134"/>
      <c r="CB143" s="134"/>
      <c r="CC143" s="134"/>
      <c r="CD143" s="134"/>
      <c r="CE143" s="134"/>
      <c r="CF143" s="134"/>
      <c r="CG143" s="134"/>
      <c r="CH143" s="134"/>
      <c r="CI143" s="134"/>
      <c r="CJ143" s="134"/>
      <c r="CK143" s="134"/>
      <c r="CL143" s="134"/>
      <c r="CM143" s="134"/>
      <c r="CN143" s="134"/>
      <c r="CO143" s="134"/>
      <c r="CP143" s="134"/>
      <c r="CQ143" s="134"/>
      <c r="CR143" s="134"/>
      <c r="CS143" s="134"/>
      <c r="CT143" s="134"/>
      <c r="CU143" s="134"/>
      <c r="CV143" s="134"/>
      <c r="CW143" s="134"/>
      <c r="CX143" s="134"/>
      <c r="CY143" s="134"/>
      <c r="CZ143" s="134"/>
      <c r="DA143" s="134"/>
      <c r="DB143" s="134"/>
      <c r="DC143" s="134"/>
      <c r="DD143" s="134"/>
      <c r="DE143" s="134"/>
      <c r="DF143" s="134"/>
      <c r="DG143" s="134"/>
      <c r="DH143" s="134"/>
      <c r="DI143" s="134"/>
      <c r="DJ143" s="134"/>
      <c r="DK143" s="134"/>
      <c r="DL143" s="134"/>
      <c r="DM143" s="134"/>
      <c r="DN143" s="134"/>
      <c r="DO143" s="134"/>
      <c r="DP143" s="134"/>
      <c r="DQ143" s="134"/>
      <c r="DR143" s="134"/>
      <c r="DS143" s="134"/>
      <c r="DT143" s="134"/>
      <c r="DU143" s="134"/>
      <c r="DV143" s="134"/>
      <c r="DW143" s="134"/>
      <c r="DX143" s="134"/>
      <c r="DY143" s="134"/>
      <c r="DZ143" s="134"/>
      <c r="EA143" s="134"/>
      <c r="EB143" s="134"/>
      <c r="EC143" s="134"/>
      <c r="ED143" s="134"/>
      <c r="EE143" s="134"/>
      <c r="EF143" s="134"/>
      <c r="EG143" s="134"/>
      <c r="EH143" s="134"/>
      <c r="EI143" s="134"/>
      <c r="EJ143" s="134"/>
      <c r="EK143" s="134"/>
      <c r="EL143" s="134"/>
      <c r="EM143" s="134"/>
      <c r="EN143" s="134"/>
      <c r="EO143" s="134"/>
      <c r="EP143" s="134"/>
      <c r="EQ143" s="134"/>
      <c r="ER143" s="134"/>
      <c r="ES143" s="134"/>
      <c r="ET143" s="134"/>
      <c r="EU143" s="134"/>
      <c r="EV143" s="134"/>
      <c r="EW143" s="134"/>
      <c r="EX143" s="134"/>
      <c r="EY143" s="134"/>
      <c r="EZ143" s="134"/>
      <c r="FA143" s="134"/>
      <c r="FB143" s="134"/>
      <c r="FC143" s="134"/>
      <c r="FD143" s="134"/>
      <c r="FE143" s="134"/>
      <c r="FF143" s="134"/>
      <c r="FG143" s="134"/>
      <c r="FH143" s="134"/>
      <c r="FI143" s="134"/>
      <c r="FJ143" s="134"/>
      <c r="FK143" s="134"/>
      <c r="FL143" s="134"/>
      <c r="FM143" s="134"/>
      <c r="FN143" s="134"/>
      <c r="FO143" s="134"/>
      <c r="FP143" s="134"/>
      <c r="FQ143" s="134"/>
      <c r="FR143" s="134"/>
      <c r="FS143" s="134"/>
      <c r="FT143" s="134"/>
      <c r="FU143" s="134"/>
      <c r="FV143" s="134"/>
      <c r="FW143" s="134"/>
      <c r="FX143" s="134"/>
      <c r="FY143" s="134"/>
      <c r="FZ143" s="134"/>
      <c r="GA143" s="134"/>
      <c r="GB143" s="134"/>
      <c r="GC143" s="134"/>
      <c r="GD143" s="134"/>
      <c r="GE143" s="134"/>
      <c r="GF143" s="134"/>
      <c r="GG143" s="134"/>
      <c r="GH143" s="134"/>
      <c r="GI143" s="134"/>
      <c r="GJ143" s="134"/>
      <c r="GK143" s="134"/>
      <c r="GL143" s="134"/>
      <c r="GM143" s="134"/>
      <c r="GN143" s="134"/>
      <c r="GO143" s="134"/>
      <c r="GP143" s="134"/>
      <c r="GQ143" s="134"/>
      <c r="GR143" s="134"/>
      <c r="GS143" s="134"/>
      <c r="GT143" s="134"/>
      <c r="GU143" s="134"/>
      <c r="GV143" s="134"/>
      <c r="GW143" s="134"/>
      <c r="GX143" s="134"/>
      <c r="GY143" s="134"/>
      <c r="GZ143" s="134"/>
      <c r="HA143" s="134"/>
      <c r="HB143" s="134"/>
      <c r="HC143" s="134"/>
      <c r="HD143" s="134"/>
      <c r="HE143" s="134"/>
      <c r="HF143" s="134"/>
      <c r="HG143" s="134"/>
      <c r="HH143" s="134"/>
      <c r="HI143" s="134"/>
      <c r="HJ143" s="134"/>
      <c r="HK143" s="134"/>
      <c r="HL143" s="134"/>
      <c r="HM143" s="134"/>
      <c r="HN143" s="134"/>
      <c r="HO143" s="134"/>
      <c r="HP143" s="134"/>
      <c r="HQ143" s="134"/>
      <c r="HR143" s="134"/>
      <c r="HS143" s="134"/>
      <c r="HT143" s="134"/>
      <c r="HU143" s="134"/>
      <c r="HV143" s="134"/>
      <c r="HW143" s="134"/>
      <c r="HX143" s="134"/>
      <c r="HY143" s="134"/>
      <c r="HZ143" s="134"/>
      <c r="IA143" s="134"/>
      <c r="IB143" s="134"/>
      <c r="IC143" s="134"/>
      <c r="ID143" s="134"/>
      <c r="IE143" s="134"/>
      <c r="IF143" s="134"/>
      <c r="IG143" s="134"/>
      <c r="IH143" s="134"/>
      <c r="II143" s="134"/>
      <c r="IJ143" s="134"/>
      <c r="IK143" s="134"/>
      <c r="IL143" s="134"/>
      <c r="IM143" s="134"/>
      <c r="IN143" s="134"/>
      <c r="IO143" s="134"/>
      <c r="IP143" s="134"/>
      <c r="IQ143" s="134"/>
      <c r="IR143" s="134"/>
      <c r="IS143" s="134"/>
      <c r="IT143" s="134"/>
      <c r="IU143" s="134"/>
    </row>
    <row r="144" spans="1:255" ht="105" x14ac:dyDescent="0.2">
      <c r="A144" s="236" t="str">
        <f>'HECVAT - Full'!A144</f>
        <v>DATA-18</v>
      </c>
      <c r="B144" s="236" t="str">
        <f>VLOOKUP(A144,'HECVAT - Full'!A$24:B$312,2,FALSE)</f>
        <v>Do you have a cryptographic key management process (generation, exchange, storage, safeguards, use, vetting, and replacement), that is documented and currently implemented, for all system components? (e.g. database, system, web, etc.)</v>
      </c>
      <c r="C144" s="266" t="s">
        <v>3026</v>
      </c>
      <c r="D144" s="237" t="s">
        <v>2831</v>
      </c>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4"/>
      <c r="BT144" s="134"/>
      <c r="BU144" s="134"/>
      <c r="BV144" s="134"/>
      <c r="BW144" s="134"/>
      <c r="BX144" s="134"/>
      <c r="BY144" s="134"/>
      <c r="BZ144" s="134"/>
      <c r="CA144" s="134"/>
      <c r="CB144" s="134"/>
      <c r="CC144" s="134"/>
      <c r="CD144" s="134"/>
      <c r="CE144" s="134"/>
      <c r="CF144" s="134"/>
      <c r="CG144" s="134"/>
      <c r="CH144" s="134"/>
      <c r="CI144" s="134"/>
      <c r="CJ144" s="134"/>
      <c r="CK144" s="134"/>
      <c r="CL144" s="134"/>
      <c r="CM144" s="134"/>
      <c r="CN144" s="134"/>
      <c r="CO144" s="134"/>
      <c r="CP144" s="134"/>
      <c r="CQ144" s="134"/>
      <c r="CR144" s="134"/>
      <c r="CS144" s="134"/>
      <c r="CT144" s="134"/>
      <c r="CU144" s="134"/>
      <c r="CV144" s="134"/>
      <c r="CW144" s="134"/>
      <c r="CX144" s="134"/>
      <c r="CY144" s="134"/>
      <c r="CZ144" s="134"/>
      <c r="DA144" s="134"/>
      <c r="DB144" s="134"/>
      <c r="DC144" s="134"/>
      <c r="DD144" s="134"/>
      <c r="DE144" s="134"/>
      <c r="DF144" s="134"/>
      <c r="DG144" s="134"/>
      <c r="DH144" s="134"/>
      <c r="DI144" s="134"/>
      <c r="DJ144" s="134"/>
      <c r="DK144" s="134"/>
      <c r="DL144" s="134"/>
      <c r="DM144" s="134"/>
      <c r="DN144" s="134"/>
      <c r="DO144" s="134"/>
      <c r="DP144" s="134"/>
      <c r="DQ144" s="134"/>
      <c r="DR144" s="134"/>
      <c r="DS144" s="134"/>
      <c r="DT144" s="134"/>
      <c r="DU144" s="134"/>
      <c r="DV144" s="134"/>
      <c r="DW144" s="134"/>
      <c r="DX144" s="134"/>
      <c r="DY144" s="134"/>
      <c r="DZ144" s="134"/>
      <c r="EA144" s="134"/>
      <c r="EB144" s="134"/>
      <c r="EC144" s="134"/>
      <c r="ED144" s="134"/>
      <c r="EE144" s="134"/>
      <c r="EF144" s="134"/>
      <c r="EG144" s="134"/>
      <c r="EH144" s="134"/>
      <c r="EI144" s="134"/>
      <c r="EJ144" s="134"/>
      <c r="EK144" s="134"/>
      <c r="EL144" s="134"/>
      <c r="EM144" s="134"/>
      <c r="EN144" s="134"/>
      <c r="EO144" s="134"/>
      <c r="EP144" s="134"/>
      <c r="EQ144" s="134"/>
      <c r="ER144" s="134"/>
      <c r="ES144" s="134"/>
      <c r="ET144" s="134"/>
      <c r="EU144" s="134"/>
      <c r="EV144" s="134"/>
      <c r="EW144" s="134"/>
      <c r="EX144" s="134"/>
      <c r="EY144" s="134"/>
      <c r="EZ144" s="134"/>
      <c r="FA144" s="134"/>
      <c r="FB144" s="134"/>
      <c r="FC144" s="134"/>
      <c r="FD144" s="134"/>
      <c r="FE144" s="134"/>
      <c r="FF144" s="134"/>
      <c r="FG144" s="134"/>
      <c r="FH144" s="134"/>
      <c r="FI144" s="134"/>
      <c r="FJ144" s="134"/>
      <c r="FK144" s="134"/>
      <c r="FL144" s="134"/>
      <c r="FM144" s="134"/>
      <c r="FN144" s="134"/>
      <c r="FO144" s="134"/>
      <c r="FP144" s="134"/>
      <c r="FQ144" s="134"/>
      <c r="FR144" s="134"/>
      <c r="FS144" s="134"/>
      <c r="FT144" s="134"/>
      <c r="FU144" s="134"/>
      <c r="FV144" s="134"/>
      <c r="FW144" s="134"/>
      <c r="FX144" s="134"/>
      <c r="FY144" s="134"/>
      <c r="FZ144" s="134"/>
      <c r="GA144" s="134"/>
      <c r="GB144" s="134"/>
      <c r="GC144" s="134"/>
      <c r="GD144" s="134"/>
      <c r="GE144" s="134"/>
      <c r="GF144" s="134"/>
      <c r="GG144" s="134"/>
      <c r="GH144" s="134"/>
      <c r="GI144" s="134"/>
      <c r="GJ144" s="134"/>
      <c r="GK144" s="134"/>
      <c r="GL144" s="134"/>
      <c r="GM144" s="134"/>
      <c r="GN144" s="134"/>
      <c r="GO144" s="134"/>
      <c r="GP144" s="134"/>
      <c r="GQ144" s="134"/>
      <c r="GR144" s="134"/>
      <c r="GS144" s="134"/>
      <c r="GT144" s="134"/>
      <c r="GU144" s="134"/>
      <c r="GV144" s="134"/>
      <c r="GW144" s="134"/>
      <c r="GX144" s="134"/>
      <c r="GY144" s="134"/>
      <c r="GZ144" s="134"/>
      <c r="HA144" s="134"/>
      <c r="HB144" s="134"/>
      <c r="HC144" s="134"/>
      <c r="HD144" s="134"/>
      <c r="HE144" s="134"/>
      <c r="HF144" s="134"/>
      <c r="HG144" s="134"/>
      <c r="HH144" s="134"/>
      <c r="HI144" s="134"/>
      <c r="HJ144" s="134"/>
      <c r="HK144" s="134"/>
      <c r="HL144" s="134"/>
      <c r="HM144" s="134"/>
      <c r="HN144" s="134"/>
      <c r="HO144" s="134"/>
      <c r="HP144" s="134"/>
      <c r="HQ144" s="134"/>
      <c r="HR144" s="134"/>
      <c r="HS144" s="134"/>
      <c r="HT144" s="134"/>
      <c r="HU144" s="134"/>
      <c r="HV144" s="134"/>
      <c r="HW144" s="134"/>
      <c r="HX144" s="134"/>
      <c r="HY144" s="134"/>
      <c r="HZ144" s="134"/>
      <c r="IA144" s="134"/>
      <c r="IB144" s="134"/>
      <c r="IC144" s="134"/>
      <c r="ID144" s="134"/>
      <c r="IE144" s="134"/>
      <c r="IF144" s="134"/>
      <c r="IG144" s="134"/>
      <c r="IH144" s="134"/>
      <c r="II144" s="134"/>
      <c r="IJ144" s="134"/>
      <c r="IK144" s="134"/>
      <c r="IL144" s="134"/>
      <c r="IM144" s="134"/>
      <c r="IN144" s="134"/>
      <c r="IO144" s="134"/>
      <c r="IP144" s="134"/>
      <c r="IQ144" s="134"/>
      <c r="IR144" s="134"/>
      <c r="IS144" s="134"/>
      <c r="IT144" s="134"/>
      <c r="IU144" s="134"/>
    </row>
    <row r="145" spans="1:255" ht="63.75" customHeight="1" x14ac:dyDescent="0.2">
      <c r="A145" s="236" t="str">
        <f>'HECVAT - Full'!A145</f>
        <v>DATA-19</v>
      </c>
      <c r="B145" s="236" t="str">
        <f>VLOOKUP(A145,'HECVAT - Full'!A$24:B$312,2,FALSE)</f>
        <v>Do current backups include all operating system software, utilities, security software, application software, and data files necessary for recovery?</v>
      </c>
      <c r="C145" s="249" t="s">
        <v>2832</v>
      </c>
      <c r="D145" s="244" t="s">
        <v>2833</v>
      </c>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4"/>
      <c r="BT145" s="134"/>
      <c r="BU145" s="134"/>
      <c r="BV145" s="134"/>
      <c r="BW145" s="134"/>
      <c r="BX145" s="134"/>
      <c r="BY145" s="134"/>
      <c r="BZ145" s="134"/>
      <c r="CA145" s="134"/>
      <c r="CB145" s="134"/>
      <c r="CC145" s="134"/>
      <c r="CD145" s="134"/>
      <c r="CE145" s="134"/>
      <c r="CF145" s="134"/>
      <c r="CG145" s="134"/>
      <c r="CH145" s="134"/>
      <c r="CI145" s="134"/>
      <c r="CJ145" s="134"/>
      <c r="CK145" s="134"/>
      <c r="CL145" s="134"/>
      <c r="CM145" s="134"/>
      <c r="CN145" s="134"/>
      <c r="CO145" s="134"/>
      <c r="CP145" s="134"/>
      <c r="CQ145" s="134"/>
      <c r="CR145" s="134"/>
      <c r="CS145" s="134"/>
      <c r="CT145" s="134"/>
      <c r="CU145" s="134"/>
      <c r="CV145" s="134"/>
      <c r="CW145" s="134"/>
      <c r="CX145" s="134"/>
      <c r="CY145" s="134"/>
      <c r="CZ145" s="134"/>
      <c r="DA145" s="134"/>
      <c r="DB145" s="134"/>
      <c r="DC145" s="134"/>
      <c r="DD145" s="134"/>
      <c r="DE145" s="134"/>
      <c r="DF145" s="134"/>
      <c r="DG145" s="134"/>
      <c r="DH145" s="134"/>
      <c r="DI145" s="134"/>
      <c r="DJ145" s="134"/>
      <c r="DK145" s="134"/>
      <c r="DL145" s="134"/>
      <c r="DM145" s="134"/>
      <c r="DN145" s="134"/>
      <c r="DO145" s="134"/>
      <c r="DP145" s="134"/>
      <c r="DQ145" s="134"/>
      <c r="DR145" s="134"/>
      <c r="DS145" s="134"/>
      <c r="DT145" s="134"/>
      <c r="DU145" s="134"/>
      <c r="DV145" s="134"/>
      <c r="DW145" s="134"/>
      <c r="DX145" s="134"/>
      <c r="DY145" s="134"/>
      <c r="DZ145" s="134"/>
      <c r="EA145" s="134"/>
      <c r="EB145" s="134"/>
      <c r="EC145" s="134"/>
      <c r="ED145" s="134"/>
      <c r="EE145" s="134"/>
      <c r="EF145" s="134"/>
      <c r="EG145" s="134"/>
      <c r="EH145" s="134"/>
      <c r="EI145" s="134"/>
      <c r="EJ145" s="134"/>
      <c r="EK145" s="134"/>
      <c r="EL145" s="134"/>
      <c r="EM145" s="134"/>
      <c r="EN145" s="134"/>
      <c r="EO145" s="134"/>
      <c r="EP145" s="134"/>
      <c r="EQ145" s="134"/>
      <c r="ER145" s="134"/>
      <c r="ES145" s="134"/>
      <c r="ET145" s="134"/>
      <c r="EU145" s="134"/>
      <c r="EV145" s="134"/>
      <c r="EW145" s="134"/>
      <c r="EX145" s="134"/>
      <c r="EY145" s="134"/>
      <c r="EZ145" s="134"/>
      <c r="FA145" s="134"/>
      <c r="FB145" s="134"/>
      <c r="FC145" s="134"/>
      <c r="FD145" s="134"/>
      <c r="FE145" s="134"/>
      <c r="FF145" s="134"/>
      <c r="FG145" s="134"/>
      <c r="FH145" s="134"/>
      <c r="FI145" s="134"/>
      <c r="FJ145" s="134"/>
      <c r="FK145" s="134"/>
      <c r="FL145" s="134"/>
      <c r="FM145" s="134"/>
      <c r="FN145" s="134"/>
      <c r="FO145" s="134"/>
      <c r="FP145" s="134"/>
      <c r="FQ145" s="134"/>
      <c r="FR145" s="134"/>
      <c r="FS145" s="134"/>
      <c r="FT145" s="134"/>
      <c r="FU145" s="134"/>
      <c r="FV145" s="134"/>
      <c r="FW145" s="134"/>
      <c r="FX145" s="134"/>
      <c r="FY145" s="134"/>
      <c r="FZ145" s="134"/>
      <c r="GA145" s="134"/>
      <c r="GB145" s="134"/>
      <c r="GC145" s="134"/>
      <c r="GD145" s="134"/>
      <c r="GE145" s="134"/>
      <c r="GF145" s="134"/>
      <c r="GG145" s="134"/>
      <c r="GH145" s="134"/>
      <c r="GI145" s="134"/>
      <c r="GJ145" s="134"/>
      <c r="GK145" s="134"/>
      <c r="GL145" s="134"/>
      <c r="GM145" s="134"/>
      <c r="GN145" s="134"/>
      <c r="GO145" s="134"/>
      <c r="GP145" s="134"/>
      <c r="GQ145" s="134"/>
      <c r="GR145" s="134"/>
      <c r="GS145" s="134"/>
      <c r="GT145" s="134"/>
      <c r="GU145" s="134"/>
      <c r="GV145" s="134"/>
      <c r="GW145" s="134"/>
      <c r="GX145" s="134"/>
      <c r="GY145" s="134"/>
      <c r="GZ145" s="134"/>
      <c r="HA145" s="134"/>
      <c r="HB145" s="134"/>
      <c r="HC145" s="134"/>
      <c r="HD145" s="134"/>
      <c r="HE145" s="134"/>
      <c r="HF145" s="134"/>
      <c r="HG145" s="134"/>
      <c r="HH145" s="134"/>
      <c r="HI145" s="134"/>
      <c r="HJ145" s="134"/>
      <c r="HK145" s="134"/>
      <c r="HL145" s="134"/>
      <c r="HM145" s="134"/>
      <c r="HN145" s="134"/>
      <c r="HO145" s="134"/>
      <c r="HP145" s="134"/>
      <c r="HQ145" s="134"/>
      <c r="HR145" s="134"/>
      <c r="HS145" s="134"/>
      <c r="HT145" s="134"/>
      <c r="HU145" s="134"/>
      <c r="HV145" s="134"/>
      <c r="HW145" s="134"/>
      <c r="HX145" s="134"/>
      <c r="HY145" s="134"/>
      <c r="HZ145" s="134"/>
      <c r="IA145" s="134"/>
      <c r="IB145" s="134"/>
      <c r="IC145" s="134"/>
      <c r="ID145" s="134"/>
      <c r="IE145" s="134"/>
      <c r="IF145" s="134"/>
      <c r="IG145" s="134"/>
      <c r="IH145" s="134"/>
      <c r="II145" s="134"/>
      <c r="IJ145" s="134"/>
      <c r="IK145" s="134"/>
      <c r="IL145" s="134"/>
      <c r="IM145" s="134"/>
      <c r="IN145" s="134"/>
      <c r="IO145" s="134"/>
      <c r="IP145" s="134"/>
      <c r="IQ145" s="134"/>
      <c r="IR145" s="134"/>
      <c r="IS145" s="134"/>
      <c r="IT145" s="134"/>
      <c r="IU145" s="134"/>
    </row>
    <row r="146" spans="1:255" ht="75" x14ac:dyDescent="0.2">
      <c r="A146" s="236" t="str">
        <f>'HECVAT - Full'!A146</f>
        <v>DATA-20</v>
      </c>
      <c r="B146" s="236" t="str">
        <f>VLOOKUP(A146,'HECVAT - Full'!A$24:B$312,2,FALSE)</f>
        <v>Are you performing off site backups? (i.e. digitally moved off site)</v>
      </c>
      <c r="C146" s="275" t="s">
        <v>3055</v>
      </c>
      <c r="D146" s="244" t="s">
        <v>2834</v>
      </c>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c r="CZ146" s="134"/>
      <c r="DA146" s="134"/>
      <c r="DB146" s="134"/>
      <c r="DC146" s="134"/>
      <c r="DD146" s="134"/>
      <c r="DE146" s="134"/>
      <c r="DF146" s="134"/>
      <c r="DG146" s="134"/>
      <c r="DH146" s="134"/>
      <c r="DI146" s="134"/>
      <c r="DJ146" s="134"/>
      <c r="DK146" s="134"/>
      <c r="DL146" s="134"/>
      <c r="DM146" s="134"/>
      <c r="DN146" s="134"/>
      <c r="DO146" s="134"/>
      <c r="DP146" s="134"/>
      <c r="DQ146" s="134"/>
      <c r="DR146" s="134"/>
      <c r="DS146" s="134"/>
      <c r="DT146" s="134"/>
      <c r="DU146" s="134"/>
      <c r="DV146" s="134"/>
      <c r="DW146" s="134"/>
      <c r="DX146" s="134"/>
      <c r="DY146" s="134"/>
      <c r="DZ146" s="134"/>
      <c r="EA146" s="134"/>
      <c r="EB146" s="134"/>
      <c r="EC146" s="134"/>
      <c r="ED146" s="134"/>
      <c r="EE146" s="134"/>
      <c r="EF146" s="134"/>
      <c r="EG146" s="134"/>
      <c r="EH146" s="134"/>
      <c r="EI146" s="134"/>
      <c r="EJ146" s="134"/>
      <c r="EK146" s="134"/>
      <c r="EL146" s="134"/>
      <c r="EM146" s="134"/>
      <c r="EN146" s="134"/>
      <c r="EO146" s="134"/>
      <c r="EP146" s="134"/>
      <c r="EQ146" s="134"/>
      <c r="ER146" s="134"/>
      <c r="ES146" s="134"/>
      <c r="ET146" s="134"/>
      <c r="EU146" s="134"/>
      <c r="EV146" s="134"/>
      <c r="EW146" s="134"/>
      <c r="EX146" s="134"/>
      <c r="EY146" s="134"/>
      <c r="EZ146" s="134"/>
      <c r="FA146" s="134"/>
      <c r="FB146" s="134"/>
      <c r="FC146" s="134"/>
      <c r="FD146" s="134"/>
      <c r="FE146" s="134"/>
      <c r="FF146" s="134"/>
      <c r="FG146" s="134"/>
      <c r="FH146" s="134"/>
      <c r="FI146" s="134"/>
      <c r="FJ146" s="134"/>
      <c r="FK146" s="134"/>
      <c r="FL146" s="134"/>
      <c r="FM146" s="134"/>
      <c r="FN146" s="134"/>
      <c r="FO146" s="134"/>
      <c r="FP146" s="134"/>
      <c r="FQ146" s="134"/>
      <c r="FR146" s="134"/>
      <c r="FS146" s="134"/>
      <c r="FT146" s="134"/>
      <c r="FU146" s="134"/>
      <c r="FV146" s="134"/>
      <c r="FW146" s="134"/>
      <c r="FX146" s="134"/>
      <c r="FY146" s="134"/>
      <c r="FZ146" s="134"/>
      <c r="GA146" s="134"/>
      <c r="GB146" s="134"/>
      <c r="GC146" s="134"/>
      <c r="GD146" s="134"/>
      <c r="GE146" s="134"/>
      <c r="GF146" s="134"/>
      <c r="GG146" s="134"/>
      <c r="GH146" s="134"/>
      <c r="GI146" s="134"/>
      <c r="GJ146" s="134"/>
      <c r="GK146" s="134"/>
      <c r="GL146" s="134"/>
      <c r="GM146" s="134"/>
      <c r="GN146" s="134"/>
      <c r="GO146" s="134"/>
      <c r="GP146" s="134"/>
      <c r="GQ146" s="134"/>
      <c r="GR146" s="134"/>
      <c r="GS146" s="134"/>
      <c r="GT146" s="134"/>
      <c r="GU146" s="134"/>
      <c r="GV146" s="134"/>
      <c r="GW146" s="134"/>
      <c r="GX146" s="134"/>
      <c r="GY146" s="134"/>
      <c r="GZ146" s="134"/>
      <c r="HA146" s="134"/>
      <c r="HB146" s="134"/>
      <c r="HC146" s="134"/>
      <c r="HD146" s="134"/>
      <c r="HE146" s="134"/>
      <c r="HF146" s="134"/>
      <c r="HG146" s="134"/>
      <c r="HH146" s="134"/>
      <c r="HI146" s="134"/>
      <c r="HJ146" s="134"/>
      <c r="HK146" s="134"/>
      <c r="HL146" s="134"/>
      <c r="HM146" s="134"/>
      <c r="HN146" s="134"/>
      <c r="HO146" s="134"/>
      <c r="HP146" s="134"/>
      <c r="HQ146" s="134"/>
      <c r="HR146" s="134"/>
      <c r="HS146" s="134"/>
      <c r="HT146" s="134"/>
      <c r="HU146" s="134"/>
      <c r="HV146" s="134"/>
      <c r="HW146" s="134"/>
      <c r="HX146" s="134"/>
      <c r="HY146" s="134"/>
      <c r="HZ146" s="134"/>
      <c r="IA146" s="134"/>
      <c r="IB146" s="134"/>
      <c r="IC146" s="134"/>
      <c r="ID146" s="134"/>
      <c r="IE146" s="134"/>
      <c r="IF146" s="134"/>
      <c r="IG146" s="134"/>
      <c r="IH146" s="134"/>
      <c r="II146" s="134"/>
      <c r="IJ146" s="134"/>
      <c r="IK146" s="134"/>
      <c r="IL146" s="134"/>
      <c r="IM146" s="134"/>
      <c r="IN146" s="134"/>
      <c r="IO146" s="134"/>
      <c r="IP146" s="134"/>
      <c r="IQ146" s="134"/>
      <c r="IR146" s="134"/>
      <c r="IS146" s="134"/>
      <c r="IT146" s="134"/>
      <c r="IU146" s="134"/>
    </row>
    <row r="147" spans="1:255" ht="60" x14ac:dyDescent="0.2">
      <c r="A147" s="236" t="str">
        <f>'HECVAT - Full'!A147</f>
        <v>DATA-21</v>
      </c>
      <c r="B147" s="236" t="str">
        <f>VLOOKUP(A147,'HECVAT - Full'!A$24:B$312,2,FALSE)</f>
        <v>Are physical backups taken off site? (i.e. physically moved off site)</v>
      </c>
      <c r="C147" s="249" t="s">
        <v>2835</v>
      </c>
      <c r="D147" s="244" t="s">
        <v>2836</v>
      </c>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134"/>
      <c r="ES147" s="134"/>
      <c r="ET147" s="134"/>
      <c r="EU147" s="134"/>
      <c r="EV147" s="134"/>
      <c r="EW147" s="134"/>
      <c r="EX147" s="134"/>
      <c r="EY147" s="134"/>
      <c r="EZ147" s="134"/>
      <c r="FA147" s="134"/>
      <c r="FB147" s="134"/>
      <c r="FC147" s="134"/>
      <c r="FD147" s="134"/>
      <c r="FE147" s="134"/>
      <c r="FF147" s="134"/>
      <c r="FG147" s="134"/>
      <c r="FH147" s="134"/>
      <c r="FI147" s="134"/>
      <c r="FJ147" s="134"/>
      <c r="FK147" s="134"/>
      <c r="FL147" s="134"/>
      <c r="FM147" s="134"/>
      <c r="FN147" s="134"/>
      <c r="FO147" s="134"/>
      <c r="FP147" s="134"/>
      <c r="FQ147" s="134"/>
      <c r="FR147" s="134"/>
      <c r="FS147" s="134"/>
      <c r="FT147" s="134"/>
      <c r="FU147" s="134"/>
      <c r="FV147" s="134"/>
      <c r="FW147" s="134"/>
      <c r="FX147" s="134"/>
      <c r="FY147" s="134"/>
      <c r="FZ147" s="134"/>
      <c r="GA147" s="134"/>
      <c r="GB147" s="134"/>
      <c r="GC147" s="134"/>
      <c r="GD147" s="134"/>
      <c r="GE147" s="134"/>
      <c r="GF147" s="134"/>
      <c r="GG147" s="134"/>
      <c r="GH147" s="134"/>
      <c r="GI147" s="134"/>
      <c r="GJ147" s="134"/>
      <c r="GK147" s="134"/>
      <c r="GL147" s="134"/>
      <c r="GM147" s="134"/>
      <c r="GN147" s="134"/>
      <c r="GO147" s="134"/>
      <c r="GP147" s="134"/>
      <c r="GQ147" s="134"/>
      <c r="GR147" s="134"/>
      <c r="GS147" s="134"/>
      <c r="GT147" s="134"/>
      <c r="GU147" s="134"/>
      <c r="GV147" s="134"/>
      <c r="GW147" s="134"/>
      <c r="GX147" s="134"/>
      <c r="GY147" s="134"/>
      <c r="GZ147" s="134"/>
      <c r="HA147" s="134"/>
      <c r="HB147" s="134"/>
      <c r="HC147" s="134"/>
      <c r="HD147" s="134"/>
      <c r="HE147" s="134"/>
      <c r="HF147" s="134"/>
      <c r="HG147" s="134"/>
      <c r="HH147" s="134"/>
      <c r="HI147" s="134"/>
      <c r="HJ147" s="134"/>
      <c r="HK147" s="134"/>
      <c r="HL147" s="134"/>
      <c r="HM147" s="134"/>
      <c r="HN147" s="134"/>
      <c r="HO147" s="134"/>
      <c r="HP147" s="134"/>
      <c r="HQ147" s="134"/>
      <c r="HR147" s="134"/>
      <c r="HS147" s="134"/>
      <c r="HT147" s="134"/>
      <c r="HU147" s="134"/>
      <c r="HV147" s="134"/>
      <c r="HW147" s="134"/>
      <c r="HX147" s="134"/>
      <c r="HY147" s="134"/>
      <c r="HZ147" s="134"/>
      <c r="IA147" s="134"/>
      <c r="IB147" s="134"/>
      <c r="IC147" s="134"/>
      <c r="ID147" s="134"/>
      <c r="IE147" s="134"/>
      <c r="IF147" s="134"/>
      <c r="IG147" s="134"/>
      <c r="IH147" s="134"/>
      <c r="II147" s="134"/>
      <c r="IJ147" s="134"/>
      <c r="IK147" s="134"/>
      <c r="IL147" s="134"/>
      <c r="IM147" s="134"/>
      <c r="IN147" s="134"/>
      <c r="IO147" s="134"/>
      <c r="IP147" s="134"/>
      <c r="IQ147" s="134"/>
      <c r="IR147" s="134"/>
      <c r="IS147" s="134"/>
      <c r="IT147" s="134"/>
      <c r="IU147" s="134"/>
    </row>
    <row r="148" spans="1:255" ht="90" x14ac:dyDescent="0.2">
      <c r="A148" s="236" t="str">
        <f>'HECVAT - Full'!A148</f>
        <v>DATA-22</v>
      </c>
      <c r="B148" s="236" t="str">
        <f>VLOOKUP(A148,'HECVAT - Full'!A$24:B$312,2,FALSE)</f>
        <v>Do backups containing the institution's data ever leave the Institution's Data Zone either physically or via network routing?</v>
      </c>
      <c r="C148" s="239" t="s">
        <v>2837</v>
      </c>
      <c r="D148" s="244" t="s">
        <v>2838</v>
      </c>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c r="HI148" s="134"/>
      <c r="HJ148" s="134"/>
      <c r="HK148" s="134"/>
      <c r="HL148" s="134"/>
      <c r="HM148" s="134"/>
      <c r="HN148" s="134"/>
      <c r="HO148" s="134"/>
      <c r="HP148" s="134"/>
      <c r="HQ148" s="134"/>
      <c r="HR148" s="134"/>
      <c r="HS148" s="134"/>
      <c r="HT148" s="134"/>
      <c r="HU148" s="134"/>
      <c r="HV148" s="134"/>
      <c r="HW148" s="134"/>
      <c r="HX148" s="134"/>
      <c r="HY148" s="134"/>
      <c r="HZ148" s="134"/>
      <c r="IA148" s="134"/>
      <c r="IB148" s="134"/>
      <c r="IC148" s="134"/>
      <c r="ID148" s="134"/>
      <c r="IE148" s="134"/>
      <c r="IF148" s="134"/>
      <c r="IG148" s="134"/>
      <c r="IH148" s="134"/>
      <c r="II148" s="134"/>
      <c r="IJ148" s="134"/>
      <c r="IK148" s="134"/>
      <c r="IL148" s="134"/>
      <c r="IM148" s="134"/>
      <c r="IN148" s="134"/>
      <c r="IO148" s="134"/>
      <c r="IP148" s="134"/>
      <c r="IQ148" s="134"/>
      <c r="IR148" s="134"/>
      <c r="IS148" s="134"/>
      <c r="IT148" s="134"/>
      <c r="IU148" s="134"/>
    </row>
    <row r="149" spans="1:255" ht="84" customHeight="1" x14ac:dyDescent="0.2">
      <c r="A149" s="236" t="str">
        <f>'HECVAT - Full'!A149</f>
        <v>DATA-23</v>
      </c>
      <c r="B149" s="236" t="str">
        <f>VLOOKUP(A149,'HECVAT - Full'!A$24:B$312,2,FALSE)</f>
        <v>Do you have a media handling process, that is documented and currently implemented, including end-of-life, repurposing, and data sanitization procedures?</v>
      </c>
      <c r="C149" s="239" t="s">
        <v>2839</v>
      </c>
      <c r="D149" s="243" t="s">
        <v>2840</v>
      </c>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c r="CZ149" s="134"/>
      <c r="DA149" s="134"/>
      <c r="DB149" s="134"/>
      <c r="DC149" s="134"/>
      <c r="DD149" s="134"/>
      <c r="DE149" s="134"/>
      <c r="DF149" s="134"/>
      <c r="DG149" s="134"/>
      <c r="DH149" s="134"/>
      <c r="DI149" s="134"/>
      <c r="DJ149" s="134"/>
      <c r="DK149" s="134"/>
      <c r="DL149" s="134"/>
      <c r="DM149" s="134"/>
      <c r="DN149" s="134"/>
      <c r="DO149" s="134"/>
      <c r="DP149" s="134"/>
      <c r="DQ149" s="134"/>
      <c r="DR149" s="134"/>
      <c r="DS149" s="134"/>
      <c r="DT149" s="134"/>
      <c r="DU149" s="134"/>
      <c r="DV149" s="134"/>
      <c r="DW149" s="134"/>
      <c r="DX149" s="134"/>
      <c r="DY149" s="134"/>
      <c r="DZ149" s="134"/>
      <c r="EA149" s="134"/>
      <c r="EB149" s="134"/>
      <c r="EC149" s="134"/>
      <c r="ED149" s="134"/>
      <c r="EE149" s="134"/>
      <c r="EF149" s="134"/>
      <c r="EG149" s="134"/>
      <c r="EH149" s="134"/>
      <c r="EI149" s="134"/>
      <c r="EJ149" s="134"/>
      <c r="EK149" s="134"/>
      <c r="EL149" s="134"/>
      <c r="EM149" s="134"/>
      <c r="EN149" s="134"/>
      <c r="EO149" s="134"/>
      <c r="EP149" s="134"/>
      <c r="EQ149" s="134"/>
      <c r="ER149" s="134"/>
      <c r="ES149" s="134"/>
      <c r="ET149" s="134"/>
      <c r="EU149" s="134"/>
      <c r="EV149" s="134"/>
      <c r="EW149" s="134"/>
      <c r="EX149" s="134"/>
      <c r="EY149" s="134"/>
      <c r="EZ149" s="134"/>
      <c r="FA149" s="134"/>
      <c r="FB149" s="134"/>
      <c r="FC149" s="134"/>
      <c r="FD149" s="134"/>
      <c r="FE149" s="134"/>
      <c r="FF149" s="134"/>
      <c r="FG149" s="134"/>
      <c r="FH149" s="134"/>
      <c r="FI149" s="134"/>
      <c r="FJ149" s="134"/>
      <c r="FK149" s="134"/>
      <c r="FL149" s="134"/>
      <c r="FM149" s="134"/>
      <c r="FN149" s="134"/>
      <c r="FO149" s="134"/>
      <c r="FP149" s="134"/>
      <c r="FQ149" s="134"/>
      <c r="FR149" s="134"/>
      <c r="FS149" s="134"/>
      <c r="FT149" s="134"/>
      <c r="FU149" s="134"/>
      <c r="FV149" s="134"/>
      <c r="FW149" s="134"/>
      <c r="FX149" s="134"/>
      <c r="FY149" s="134"/>
      <c r="FZ149" s="134"/>
      <c r="GA149" s="134"/>
      <c r="GB149" s="134"/>
      <c r="GC149" s="134"/>
      <c r="GD149" s="134"/>
      <c r="GE149" s="134"/>
      <c r="GF149" s="134"/>
      <c r="GG149" s="134"/>
      <c r="GH149" s="134"/>
      <c r="GI149" s="134"/>
      <c r="GJ149" s="134"/>
      <c r="GK149" s="134"/>
      <c r="GL149" s="134"/>
      <c r="GM149" s="134"/>
      <c r="GN149" s="134"/>
      <c r="GO149" s="134"/>
      <c r="GP149" s="134"/>
      <c r="GQ149" s="134"/>
      <c r="GR149" s="134"/>
      <c r="GS149" s="134"/>
      <c r="GT149" s="134"/>
      <c r="GU149" s="134"/>
      <c r="GV149" s="134"/>
      <c r="GW149" s="134"/>
      <c r="GX149" s="134"/>
      <c r="GY149" s="134"/>
      <c r="GZ149" s="134"/>
      <c r="HA149" s="134"/>
      <c r="HB149" s="134"/>
      <c r="HC149" s="134"/>
      <c r="HD149" s="134"/>
      <c r="HE149" s="134"/>
      <c r="HF149" s="134"/>
      <c r="HG149" s="134"/>
      <c r="HH149" s="134"/>
      <c r="HI149" s="134"/>
      <c r="HJ149" s="134"/>
      <c r="HK149" s="134"/>
      <c r="HL149" s="134"/>
      <c r="HM149" s="134"/>
      <c r="HN149" s="134"/>
      <c r="HO149" s="134"/>
      <c r="HP149" s="134"/>
      <c r="HQ149" s="134"/>
      <c r="HR149" s="134"/>
      <c r="HS149" s="134"/>
      <c r="HT149" s="134"/>
      <c r="HU149" s="134"/>
      <c r="HV149" s="134"/>
      <c r="HW149" s="134"/>
      <c r="HX149" s="134"/>
      <c r="HY149" s="134"/>
      <c r="HZ149" s="134"/>
      <c r="IA149" s="134"/>
      <c r="IB149" s="134"/>
      <c r="IC149" s="134"/>
      <c r="ID149" s="134"/>
      <c r="IE149" s="134"/>
      <c r="IF149" s="134"/>
      <c r="IG149" s="134"/>
      <c r="IH149" s="134"/>
      <c r="II149" s="134"/>
      <c r="IJ149" s="134"/>
      <c r="IK149" s="134"/>
      <c r="IL149" s="134"/>
      <c r="IM149" s="134"/>
      <c r="IN149" s="134"/>
      <c r="IO149" s="134"/>
      <c r="IP149" s="134"/>
      <c r="IQ149" s="134"/>
      <c r="IR149" s="134"/>
      <c r="IS149" s="134"/>
      <c r="IT149" s="134"/>
      <c r="IU149" s="134"/>
    </row>
    <row r="150" spans="1:255" ht="75" x14ac:dyDescent="0.2">
      <c r="A150" s="236" t="str">
        <f>'HECVAT - Full'!A150</f>
        <v>DATA-24</v>
      </c>
      <c r="B150" s="236" t="str">
        <f>VLOOKUP(A150,'HECVAT - Full'!A$24:B$312,2,FALSE)</f>
        <v>Does the process described in DATA-23 adhere to DoD 5220.22-M and/or NIST SP 800-88 standards?</v>
      </c>
      <c r="C150" s="239" t="s">
        <v>2839</v>
      </c>
      <c r="D150" s="250" t="s">
        <v>2841</v>
      </c>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c r="FW150" s="134"/>
      <c r="FX150" s="134"/>
      <c r="FY150" s="134"/>
      <c r="FZ150" s="134"/>
      <c r="GA150" s="134"/>
      <c r="GB150" s="134"/>
      <c r="GC150" s="134"/>
      <c r="GD150" s="134"/>
      <c r="GE150" s="134"/>
      <c r="GF150" s="134"/>
      <c r="GG150" s="134"/>
      <c r="GH150" s="134"/>
      <c r="GI150" s="134"/>
      <c r="GJ150" s="134"/>
      <c r="GK150" s="134"/>
      <c r="GL150" s="134"/>
      <c r="GM150" s="134"/>
      <c r="GN150" s="134"/>
      <c r="GO150" s="134"/>
      <c r="GP150" s="134"/>
      <c r="GQ150" s="134"/>
      <c r="GR150" s="134"/>
      <c r="GS150" s="134"/>
      <c r="GT150" s="134"/>
      <c r="GU150" s="134"/>
      <c r="GV150" s="134"/>
      <c r="GW150" s="134"/>
      <c r="GX150" s="134"/>
      <c r="GY150" s="134"/>
      <c r="GZ150" s="134"/>
      <c r="HA150" s="134"/>
      <c r="HB150" s="134"/>
      <c r="HC150" s="134"/>
      <c r="HD150" s="134"/>
      <c r="HE150" s="134"/>
      <c r="HF150" s="134"/>
      <c r="HG150" s="134"/>
      <c r="HH150" s="134"/>
      <c r="HI150" s="134"/>
      <c r="HJ150" s="134"/>
      <c r="HK150" s="134"/>
      <c r="HL150" s="134"/>
      <c r="HM150" s="134"/>
      <c r="HN150" s="134"/>
      <c r="HO150" s="134"/>
      <c r="HP150" s="134"/>
      <c r="HQ150" s="134"/>
      <c r="HR150" s="134"/>
      <c r="HS150" s="134"/>
      <c r="HT150" s="134"/>
      <c r="HU150" s="134"/>
      <c r="HV150" s="134"/>
      <c r="HW150" s="134"/>
      <c r="HX150" s="134"/>
      <c r="HY150" s="134"/>
      <c r="HZ150" s="134"/>
      <c r="IA150" s="134"/>
      <c r="IB150" s="134"/>
      <c r="IC150" s="134"/>
      <c r="ID150" s="134"/>
      <c r="IE150" s="134"/>
      <c r="IF150" s="134"/>
      <c r="IG150" s="134"/>
      <c r="IH150" s="134"/>
      <c r="II150" s="134"/>
      <c r="IJ150" s="134"/>
      <c r="IK150" s="134"/>
      <c r="IL150" s="134"/>
      <c r="IM150" s="134"/>
      <c r="IN150" s="134"/>
      <c r="IO150" s="134"/>
      <c r="IP150" s="134"/>
      <c r="IQ150" s="134"/>
      <c r="IR150" s="134"/>
      <c r="IS150" s="134"/>
      <c r="IT150" s="134"/>
      <c r="IU150" s="134"/>
    </row>
    <row r="151" spans="1:255" ht="64.5" customHeight="1" x14ac:dyDescent="0.2">
      <c r="A151" s="236" t="str">
        <f>'HECVAT - Full'!A151</f>
        <v>DATA-25</v>
      </c>
      <c r="B151" s="236" t="str">
        <f>VLOOKUP(A151,'HECVAT - Full'!A$24:B$312,2,FALSE)</f>
        <v>Do procedures exist to ensure that retention and destruction of data meets established business and regulatory requirements?</v>
      </c>
      <c r="C151" s="249" t="s">
        <v>2827</v>
      </c>
      <c r="D151" s="250" t="s">
        <v>2842</v>
      </c>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134"/>
      <c r="CY151" s="134"/>
      <c r="CZ151" s="134"/>
      <c r="DA151" s="134"/>
      <c r="DB151" s="134"/>
      <c r="DC151" s="134"/>
      <c r="DD151" s="134"/>
      <c r="DE151" s="134"/>
      <c r="DF151" s="134"/>
      <c r="DG151" s="134"/>
      <c r="DH151" s="134"/>
      <c r="DI151" s="134"/>
      <c r="DJ151" s="134"/>
      <c r="DK151" s="134"/>
      <c r="DL151" s="134"/>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134"/>
      <c r="ES151" s="134"/>
      <c r="ET151" s="134"/>
      <c r="EU151" s="134"/>
      <c r="EV151" s="134"/>
      <c r="EW151" s="134"/>
      <c r="EX151" s="134"/>
      <c r="EY151" s="134"/>
      <c r="EZ151" s="134"/>
      <c r="FA151" s="134"/>
      <c r="FB151" s="134"/>
      <c r="FC151" s="134"/>
      <c r="FD151" s="134"/>
      <c r="FE151" s="134"/>
      <c r="FF151" s="134"/>
      <c r="FG151" s="134"/>
      <c r="FH151" s="134"/>
      <c r="FI151" s="134"/>
      <c r="FJ151" s="134"/>
      <c r="FK151" s="134"/>
      <c r="FL151" s="134"/>
      <c r="FM151" s="134"/>
      <c r="FN151" s="134"/>
      <c r="FO151" s="134"/>
      <c r="FP151" s="134"/>
      <c r="FQ151" s="134"/>
      <c r="FR151" s="134"/>
      <c r="FS151" s="134"/>
      <c r="FT151" s="134"/>
      <c r="FU151" s="134"/>
      <c r="FV151" s="134"/>
      <c r="FW151" s="134"/>
      <c r="FX151" s="134"/>
      <c r="FY151" s="134"/>
      <c r="FZ151" s="134"/>
      <c r="GA151" s="134"/>
      <c r="GB151" s="134"/>
      <c r="GC151" s="134"/>
      <c r="GD151" s="134"/>
      <c r="GE151" s="134"/>
      <c r="GF151" s="134"/>
      <c r="GG151" s="134"/>
      <c r="GH151" s="134"/>
      <c r="GI151" s="134"/>
      <c r="GJ151" s="134"/>
      <c r="GK151" s="134"/>
      <c r="GL151" s="134"/>
      <c r="GM151" s="134"/>
      <c r="GN151" s="134"/>
      <c r="GO151" s="134"/>
      <c r="GP151" s="134"/>
      <c r="GQ151" s="134"/>
      <c r="GR151" s="134"/>
      <c r="GS151" s="134"/>
      <c r="GT151" s="134"/>
      <c r="GU151" s="134"/>
      <c r="GV151" s="134"/>
      <c r="GW151" s="134"/>
      <c r="GX151" s="134"/>
      <c r="GY151" s="134"/>
      <c r="GZ151" s="134"/>
      <c r="HA151" s="134"/>
      <c r="HB151" s="134"/>
      <c r="HC151" s="134"/>
      <c r="HD151" s="134"/>
      <c r="HE151" s="134"/>
      <c r="HF151" s="134"/>
      <c r="HG151" s="134"/>
      <c r="HH151" s="134"/>
      <c r="HI151" s="134"/>
      <c r="HJ151" s="134"/>
      <c r="HK151" s="134"/>
      <c r="HL151" s="134"/>
      <c r="HM151" s="134"/>
      <c r="HN151" s="134"/>
      <c r="HO151" s="134"/>
      <c r="HP151" s="134"/>
      <c r="HQ151" s="134"/>
      <c r="HR151" s="134"/>
      <c r="HS151" s="134"/>
      <c r="HT151" s="134"/>
      <c r="HU151" s="134"/>
      <c r="HV151" s="134"/>
      <c r="HW151" s="134"/>
      <c r="HX151" s="134"/>
      <c r="HY151" s="134"/>
      <c r="HZ151" s="134"/>
      <c r="IA151" s="134"/>
      <c r="IB151" s="134"/>
      <c r="IC151" s="134"/>
      <c r="ID151" s="134"/>
      <c r="IE151" s="134"/>
      <c r="IF151" s="134"/>
      <c r="IG151" s="134"/>
      <c r="IH151" s="134"/>
      <c r="II151" s="134"/>
      <c r="IJ151" s="134"/>
      <c r="IK151" s="134"/>
      <c r="IL151" s="134"/>
      <c r="IM151" s="134"/>
      <c r="IN151" s="134"/>
      <c r="IO151" s="134"/>
      <c r="IP151" s="134"/>
      <c r="IQ151" s="134"/>
      <c r="IR151" s="134"/>
      <c r="IS151" s="134"/>
      <c r="IT151" s="134"/>
      <c r="IU151" s="134"/>
    </row>
    <row r="152" spans="1:255" ht="75" x14ac:dyDescent="0.2">
      <c r="A152" s="236" t="str">
        <f>'HECVAT - Full'!A152</f>
        <v>DATA-26</v>
      </c>
      <c r="B152" s="236" t="str">
        <f>VLOOKUP(A152,'HECVAT - Full'!A$24:B$312,2,FALSE)</f>
        <v>Is media used for long-term retention of business data and archival purposes stored in a secure, environmentally protected area?</v>
      </c>
      <c r="C152" s="239" t="s">
        <v>2839</v>
      </c>
      <c r="D152" s="243" t="s">
        <v>2840</v>
      </c>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c r="CZ152" s="134"/>
      <c r="DA152" s="134"/>
      <c r="DB152" s="134"/>
      <c r="DC152" s="134"/>
      <c r="DD152" s="134"/>
      <c r="DE152" s="134"/>
      <c r="DF152" s="134"/>
      <c r="DG152" s="134"/>
      <c r="DH152" s="134"/>
      <c r="DI152" s="134"/>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c r="FW152" s="134"/>
      <c r="FX152" s="134"/>
      <c r="FY152" s="134"/>
      <c r="FZ152" s="134"/>
      <c r="GA152" s="134"/>
      <c r="GB152" s="134"/>
      <c r="GC152" s="134"/>
      <c r="GD152" s="134"/>
      <c r="GE152" s="134"/>
      <c r="GF152" s="134"/>
      <c r="GG152" s="134"/>
      <c r="GH152" s="134"/>
      <c r="GI152" s="134"/>
      <c r="GJ152" s="134"/>
      <c r="GK152" s="134"/>
      <c r="GL152" s="134"/>
      <c r="GM152" s="134"/>
      <c r="GN152" s="134"/>
      <c r="GO152" s="134"/>
      <c r="GP152" s="134"/>
      <c r="GQ152" s="134"/>
      <c r="GR152" s="134"/>
      <c r="GS152" s="134"/>
      <c r="GT152" s="134"/>
      <c r="GU152" s="134"/>
      <c r="GV152" s="134"/>
      <c r="GW152" s="134"/>
      <c r="GX152" s="134"/>
      <c r="GY152" s="134"/>
      <c r="GZ152" s="134"/>
      <c r="HA152" s="134"/>
      <c r="HB152" s="134"/>
      <c r="HC152" s="134"/>
      <c r="HD152" s="134"/>
      <c r="HE152" s="134"/>
      <c r="HF152" s="134"/>
      <c r="HG152" s="134"/>
      <c r="HH152" s="134"/>
      <c r="HI152" s="134"/>
      <c r="HJ152" s="134"/>
      <c r="HK152" s="134"/>
      <c r="HL152" s="134"/>
      <c r="HM152" s="134"/>
      <c r="HN152" s="134"/>
      <c r="HO152" s="134"/>
      <c r="HP152" s="134"/>
      <c r="HQ152" s="134"/>
      <c r="HR152" s="134"/>
      <c r="HS152" s="134"/>
      <c r="HT152" s="134"/>
      <c r="HU152" s="134"/>
      <c r="HV152" s="134"/>
      <c r="HW152" s="134"/>
      <c r="HX152" s="134"/>
      <c r="HY152" s="134"/>
      <c r="HZ152" s="134"/>
      <c r="IA152" s="134"/>
      <c r="IB152" s="134"/>
      <c r="IC152" s="134"/>
      <c r="ID152" s="134"/>
      <c r="IE152" s="134"/>
      <c r="IF152" s="134"/>
      <c r="IG152" s="134"/>
      <c r="IH152" s="134"/>
      <c r="II152" s="134"/>
      <c r="IJ152" s="134"/>
      <c r="IK152" s="134"/>
      <c r="IL152" s="134"/>
      <c r="IM152" s="134"/>
      <c r="IN152" s="134"/>
      <c r="IO152" s="134"/>
      <c r="IP152" s="134"/>
      <c r="IQ152" s="134"/>
      <c r="IR152" s="134"/>
      <c r="IS152" s="134"/>
      <c r="IT152" s="134"/>
      <c r="IU152" s="134"/>
    </row>
    <row r="153" spans="1:255" ht="48" customHeight="1" x14ac:dyDescent="0.2">
      <c r="A153" s="236" t="str">
        <f>'HECVAT - Full'!A153</f>
        <v>DATA-27</v>
      </c>
      <c r="B153" s="236" t="str">
        <f>VLOOKUP(A153,'HECVAT - Full'!A$24:B$312,2,FALSE)</f>
        <v>Will you handle data in a FERPA compliant manner?</v>
      </c>
      <c r="C153" s="239" t="s">
        <v>2843</v>
      </c>
      <c r="D153" s="250" t="s">
        <v>2844</v>
      </c>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c r="CZ153" s="134"/>
      <c r="DA153" s="134"/>
      <c r="DB153" s="134"/>
      <c r="DC153" s="134"/>
      <c r="DD153" s="134"/>
      <c r="DE153" s="134"/>
      <c r="DF153" s="134"/>
      <c r="DG153" s="134"/>
      <c r="DH153" s="134"/>
      <c r="DI153" s="134"/>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c r="FW153" s="134"/>
      <c r="FX153" s="134"/>
      <c r="FY153" s="134"/>
      <c r="FZ153" s="134"/>
      <c r="GA153" s="134"/>
      <c r="GB153" s="134"/>
      <c r="GC153" s="134"/>
      <c r="GD153" s="134"/>
      <c r="GE153" s="134"/>
      <c r="GF153" s="134"/>
      <c r="GG153" s="134"/>
      <c r="GH153" s="134"/>
      <c r="GI153" s="134"/>
      <c r="GJ153" s="134"/>
      <c r="GK153" s="134"/>
      <c r="GL153" s="134"/>
      <c r="GM153" s="134"/>
      <c r="GN153" s="134"/>
      <c r="GO153" s="134"/>
      <c r="GP153" s="134"/>
      <c r="GQ153" s="134"/>
      <c r="GR153" s="134"/>
      <c r="GS153" s="134"/>
      <c r="GT153" s="134"/>
      <c r="GU153" s="134"/>
      <c r="GV153" s="134"/>
      <c r="GW153" s="134"/>
      <c r="GX153" s="134"/>
      <c r="GY153" s="134"/>
      <c r="GZ153" s="134"/>
      <c r="HA153" s="134"/>
      <c r="HB153" s="134"/>
      <c r="HC153" s="134"/>
      <c r="HD153" s="134"/>
      <c r="HE153" s="134"/>
      <c r="HF153" s="134"/>
      <c r="HG153" s="134"/>
      <c r="HH153" s="134"/>
      <c r="HI153" s="134"/>
      <c r="HJ153" s="134"/>
      <c r="HK153" s="134"/>
      <c r="HL153" s="134"/>
      <c r="HM153" s="134"/>
      <c r="HN153" s="134"/>
      <c r="HO153" s="134"/>
      <c r="HP153" s="134"/>
      <c r="HQ153" s="134"/>
      <c r="HR153" s="134"/>
      <c r="HS153" s="134"/>
      <c r="HT153" s="134"/>
      <c r="HU153" s="134"/>
      <c r="HV153" s="134"/>
      <c r="HW153" s="134"/>
      <c r="HX153" s="134"/>
      <c r="HY153" s="134"/>
      <c r="HZ153" s="134"/>
      <c r="IA153" s="134"/>
      <c r="IB153" s="134"/>
      <c r="IC153" s="134"/>
      <c r="ID153" s="134"/>
      <c r="IE153" s="134"/>
      <c r="IF153" s="134"/>
      <c r="IG153" s="134"/>
      <c r="IH153" s="134"/>
      <c r="II153" s="134"/>
      <c r="IJ153" s="134"/>
      <c r="IK153" s="134"/>
      <c r="IL153" s="134"/>
      <c r="IM153" s="134"/>
      <c r="IN153" s="134"/>
      <c r="IO153" s="134"/>
      <c r="IP153" s="134"/>
      <c r="IQ153" s="134"/>
      <c r="IR153" s="134"/>
      <c r="IS153" s="134"/>
      <c r="IT153" s="134"/>
      <c r="IU153" s="134"/>
    </row>
    <row r="154" spans="1:255" ht="96" customHeight="1" x14ac:dyDescent="0.2">
      <c r="A154" s="236" t="str">
        <f>'HECVAT - Full'!A154</f>
        <v>DATA-28</v>
      </c>
      <c r="B154" s="236" t="str">
        <f>VLOOKUP(A154,'HECVAT - Full'!A$24:B$312,2,FALSE)</f>
        <v>Is any institution data visible in system administration modules/tools?</v>
      </c>
      <c r="C154" s="269" t="s">
        <v>3056</v>
      </c>
      <c r="D154" s="244" t="s">
        <v>2845</v>
      </c>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c r="CZ154" s="134"/>
      <c r="DA154" s="134"/>
      <c r="DB154" s="134"/>
      <c r="DC154" s="134"/>
      <c r="DD154" s="134"/>
      <c r="DE154" s="134"/>
      <c r="DF154" s="134"/>
      <c r="DG154" s="134"/>
      <c r="DH154" s="134"/>
      <c r="DI154" s="134"/>
      <c r="DJ154" s="134"/>
      <c r="DK154" s="134"/>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134"/>
      <c r="ES154" s="134"/>
      <c r="ET154" s="134"/>
      <c r="EU154" s="134"/>
      <c r="EV154" s="134"/>
      <c r="EW154" s="134"/>
      <c r="EX154" s="134"/>
      <c r="EY154" s="134"/>
      <c r="EZ154" s="134"/>
      <c r="FA154" s="134"/>
      <c r="FB154" s="134"/>
      <c r="FC154" s="134"/>
      <c r="FD154" s="134"/>
      <c r="FE154" s="134"/>
      <c r="FF154" s="134"/>
      <c r="FG154" s="134"/>
      <c r="FH154" s="134"/>
      <c r="FI154" s="134"/>
      <c r="FJ154" s="134"/>
      <c r="FK154" s="134"/>
      <c r="FL154" s="134"/>
      <c r="FM154" s="134"/>
      <c r="FN154" s="134"/>
      <c r="FO154" s="134"/>
      <c r="FP154" s="134"/>
      <c r="FQ154" s="134"/>
      <c r="FR154" s="134"/>
      <c r="FS154" s="134"/>
      <c r="FT154" s="134"/>
      <c r="FU154" s="134"/>
      <c r="FV154" s="134"/>
      <c r="FW154" s="134"/>
      <c r="FX154" s="134"/>
      <c r="FY154" s="134"/>
      <c r="FZ154" s="134"/>
      <c r="GA154" s="134"/>
      <c r="GB154" s="134"/>
      <c r="GC154" s="134"/>
      <c r="GD154" s="134"/>
      <c r="GE154" s="134"/>
      <c r="GF154" s="134"/>
      <c r="GG154" s="134"/>
      <c r="GH154" s="134"/>
      <c r="GI154" s="134"/>
      <c r="GJ154" s="134"/>
      <c r="GK154" s="134"/>
      <c r="GL154" s="134"/>
      <c r="GM154" s="134"/>
      <c r="GN154" s="134"/>
      <c r="GO154" s="134"/>
      <c r="GP154" s="134"/>
      <c r="GQ154" s="134"/>
      <c r="GR154" s="134"/>
      <c r="GS154" s="134"/>
      <c r="GT154" s="134"/>
      <c r="GU154" s="134"/>
      <c r="GV154" s="134"/>
      <c r="GW154" s="134"/>
      <c r="GX154" s="134"/>
      <c r="GY154" s="134"/>
      <c r="GZ154" s="134"/>
      <c r="HA154" s="134"/>
      <c r="HB154" s="134"/>
      <c r="HC154" s="134"/>
      <c r="HD154" s="134"/>
      <c r="HE154" s="134"/>
      <c r="HF154" s="134"/>
      <c r="HG154" s="134"/>
      <c r="HH154" s="134"/>
      <c r="HI154" s="134"/>
      <c r="HJ154" s="134"/>
      <c r="HK154" s="134"/>
      <c r="HL154" s="134"/>
      <c r="HM154" s="134"/>
      <c r="HN154" s="134"/>
      <c r="HO154" s="134"/>
      <c r="HP154" s="134"/>
      <c r="HQ154" s="134"/>
      <c r="HR154" s="134"/>
      <c r="HS154" s="134"/>
      <c r="HT154" s="134"/>
      <c r="HU154" s="134"/>
      <c r="HV154" s="134"/>
      <c r="HW154" s="134"/>
      <c r="HX154" s="134"/>
      <c r="HY154" s="134"/>
      <c r="HZ154" s="134"/>
      <c r="IA154" s="134"/>
      <c r="IB154" s="134"/>
      <c r="IC154" s="134"/>
      <c r="ID154" s="134"/>
      <c r="IE154" s="134"/>
      <c r="IF154" s="134"/>
      <c r="IG154" s="134"/>
      <c r="IH154" s="134"/>
      <c r="II154" s="134"/>
      <c r="IJ154" s="134"/>
      <c r="IK154" s="134"/>
      <c r="IL154" s="134"/>
      <c r="IM154" s="134"/>
      <c r="IN154" s="134"/>
      <c r="IO154" s="134"/>
      <c r="IP154" s="134"/>
      <c r="IQ154" s="134"/>
      <c r="IR154" s="134"/>
      <c r="IS154" s="134"/>
      <c r="IT154" s="134"/>
      <c r="IU154" s="134"/>
    </row>
    <row r="155" spans="1:255" ht="36" customHeight="1" x14ac:dyDescent="0.2">
      <c r="A155" s="341" t="str">
        <f>IF($C$30="","Database",IF($C$30="Yes","Database - Optional based on QUALIFIER response.","Database"))</f>
        <v>Database</v>
      </c>
      <c r="B155" s="341"/>
      <c r="C155" s="234" t="str">
        <f>$C$22</f>
        <v>Reason for Question</v>
      </c>
      <c r="D155" s="234" t="str">
        <f>$D$22</f>
        <v>Follow-up Inquiries/Responses</v>
      </c>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c r="BT155" s="134"/>
      <c r="BU155" s="134"/>
      <c r="BV155" s="134"/>
      <c r="BW155" s="134"/>
      <c r="BX155" s="134"/>
      <c r="BY155" s="134"/>
      <c r="BZ155" s="134"/>
      <c r="CA155" s="13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c r="HI155" s="134"/>
      <c r="HJ155" s="134"/>
      <c r="HK155" s="134"/>
      <c r="HL155" s="134"/>
      <c r="HM155" s="134"/>
      <c r="HN155" s="134"/>
      <c r="HO155" s="134"/>
      <c r="HP155" s="134"/>
      <c r="HQ155" s="134"/>
      <c r="HR155" s="134"/>
      <c r="HS155" s="134"/>
      <c r="HT155" s="134"/>
      <c r="HU155" s="134"/>
      <c r="HV155" s="134"/>
      <c r="HW155" s="134"/>
      <c r="HX155" s="134"/>
      <c r="HY155" s="134"/>
      <c r="HZ155" s="134"/>
      <c r="IA155" s="134"/>
      <c r="IB155" s="134"/>
      <c r="IC155" s="134"/>
      <c r="ID155" s="134"/>
      <c r="IE155" s="134"/>
      <c r="IF155" s="134"/>
      <c r="IG155" s="134"/>
      <c r="IH155" s="134"/>
      <c r="II155" s="134"/>
      <c r="IJ155" s="134"/>
      <c r="IK155" s="134"/>
      <c r="IL155" s="134"/>
      <c r="IM155" s="134"/>
      <c r="IN155" s="134"/>
      <c r="IO155" s="134"/>
      <c r="IP155" s="134"/>
      <c r="IQ155" s="134"/>
      <c r="IR155" s="134"/>
      <c r="IS155" s="134"/>
      <c r="IT155" s="134"/>
      <c r="IU155" s="134"/>
    </row>
    <row r="156" spans="1:255" ht="105" x14ac:dyDescent="0.2">
      <c r="A156" s="236" t="str">
        <f>'HECVAT - Full'!A156</f>
        <v>DBAS-01</v>
      </c>
      <c r="B156" s="236" t="str">
        <f>VLOOKUP(A156,'HECVAT - Full'!A$24:B$312,2,FALSE)</f>
        <v>Does the database support encryption of specified data elements in storage?</v>
      </c>
      <c r="C156" s="269" t="s">
        <v>3027</v>
      </c>
      <c r="D156" s="244" t="s">
        <v>2846</v>
      </c>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O156" s="134"/>
      <c r="CP156" s="134"/>
      <c r="CQ156" s="134"/>
      <c r="CR156" s="134"/>
      <c r="CS156" s="134"/>
      <c r="CT156" s="134"/>
      <c r="CU156" s="134"/>
      <c r="CV156" s="134"/>
      <c r="CW156" s="134"/>
      <c r="CX156" s="134"/>
      <c r="CY156" s="134"/>
      <c r="CZ156" s="134"/>
      <c r="DA156" s="134"/>
      <c r="DB156" s="134"/>
      <c r="DC156" s="134"/>
      <c r="DD156" s="134"/>
      <c r="DE156" s="134"/>
      <c r="DF156" s="134"/>
      <c r="DG156" s="134"/>
      <c r="DH156" s="134"/>
      <c r="DI156" s="134"/>
      <c r="DJ156" s="134"/>
      <c r="DK156" s="134"/>
      <c r="DL156" s="134"/>
      <c r="DM156" s="134"/>
      <c r="DN156" s="134"/>
      <c r="DO156" s="134"/>
      <c r="DP156" s="134"/>
      <c r="DQ156" s="134"/>
      <c r="DR156" s="134"/>
      <c r="DS156" s="134"/>
      <c r="DT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Y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c r="FW156" s="134"/>
      <c r="FX156" s="134"/>
      <c r="FY156" s="134"/>
      <c r="FZ156" s="134"/>
      <c r="GA156" s="134"/>
      <c r="GB156" s="134"/>
      <c r="GC156" s="134"/>
      <c r="GD156" s="134"/>
      <c r="GE156" s="134"/>
      <c r="GF156" s="134"/>
      <c r="GG156" s="134"/>
      <c r="GH156" s="134"/>
      <c r="GI156" s="134"/>
      <c r="GJ156" s="134"/>
      <c r="GK156" s="134"/>
      <c r="GL156" s="134"/>
      <c r="GM156" s="134"/>
      <c r="GN156" s="134"/>
      <c r="GO156" s="134"/>
      <c r="GP156" s="134"/>
      <c r="GQ156" s="134"/>
      <c r="GR156" s="134"/>
      <c r="GS156" s="134"/>
      <c r="GT156" s="134"/>
      <c r="GU156" s="134"/>
      <c r="GV156" s="134"/>
      <c r="GW156" s="134"/>
      <c r="GX156" s="134"/>
      <c r="GY156" s="134"/>
      <c r="GZ156" s="134"/>
      <c r="HA156" s="134"/>
      <c r="HB156" s="134"/>
      <c r="HC156" s="134"/>
      <c r="HD156" s="134"/>
      <c r="HE156" s="134"/>
      <c r="HF156" s="134"/>
      <c r="HG156" s="134"/>
      <c r="HH156" s="134"/>
      <c r="HI156" s="134"/>
      <c r="HJ156" s="134"/>
      <c r="HK156" s="134"/>
      <c r="HL156" s="134"/>
      <c r="HM156" s="134"/>
      <c r="HN156" s="134"/>
      <c r="HO156" s="134"/>
      <c r="HP156" s="134"/>
      <c r="HQ156" s="134"/>
      <c r="HR156" s="134"/>
      <c r="HS156" s="134"/>
      <c r="HT156" s="134"/>
      <c r="HU156" s="134"/>
      <c r="HV156" s="134"/>
      <c r="HW156" s="134"/>
      <c r="HX156" s="134"/>
      <c r="HY156" s="134"/>
      <c r="HZ156" s="134"/>
      <c r="IA156" s="134"/>
      <c r="IB156" s="134"/>
      <c r="IC156" s="134"/>
      <c r="ID156" s="134"/>
      <c r="IE156" s="134"/>
      <c r="IF156" s="134"/>
      <c r="IG156" s="134"/>
      <c r="IH156" s="134"/>
      <c r="II156" s="134"/>
      <c r="IJ156" s="134"/>
      <c r="IK156" s="134"/>
      <c r="IL156" s="134"/>
      <c r="IM156" s="134"/>
      <c r="IN156" s="134"/>
      <c r="IO156" s="134"/>
      <c r="IP156" s="134"/>
      <c r="IQ156" s="134"/>
      <c r="IR156" s="134"/>
      <c r="IS156" s="134"/>
      <c r="IT156" s="134"/>
      <c r="IU156" s="134"/>
    </row>
    <row r="157" spans="1:255" ht="105" x14ac:dyDescent="0.2">
      <c r="A157" s="236" t="str">
        <f>'HECVAT - Full'!A157</f>
        <v>DBAS-02</v>
      </c>
      <c r="B157" s="236" t="str">
        <f>VLOOKUP(A157,'HECVAT - Full'!A$24:B$312,2,FALSE)</f>
        <v>Do you currently use encryption in your database(s)?</v>
      </c>
      <c r="C157" s="239" t="s">
        <v>2847</v>
      </c>
      <c r="D157" s="244" t="s">
        <v>2848</v>
      </c>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4"/>
      <c r="BT157" s="134"/>
      <c r="BU157" s="134"/>
      <c r="BV157" s="134"/>
      <c r="BW157" s="134"/>
      <c r="BX157" s="134"/>
      <c r="BY157" s="134"/>
      <c r="BZ157" s="134"/>
      <c r="CA157" s="134"/>
      <c r="CB157" s="134"/>
      <c r="CC157" s="134"/>
      <c r="CD157" s="134"/>
      <c r="CE157" s="134"/>
      <c r="CF157" s="134"/>
      <c r="CG157" s="134"/>
      <c r="CH157" s="134"/>
      <c r="CI157" s="134"/>
      <c r="CJ157" s="134"/>
      <c r="CK157" s="134"/>
      <c r="CL157" s="134"/>
      <c r="CM157" s="134"/>
      <c r="CN157" s="134"/>
      <c r="CO157" s="134"/>
      <c r="CP157" s="134"/>
      <c r="CQ157" s="134"/>
      <c r="CR157" s="134"/>
      <c r="CS157" s="134"/>
      <c r="CT157" s="134"/>
      <c r="CU157" s="134"/>
      <c r="CV157" s="134"/>
      <c r="CW157" s="134"/>
      <c r="CX157" s="134"/>
      <c r="CY157" s="134"/>
      <c r="CZ157" s="134"/>
      <c r="DA157" s="134"/>
      <c r="DB157" s="134"/>
      <c r="DC157" s="134"/>
      <c r="DD157" s="134"/>
      <c r="DE157" s="134"/>
      <c r="DF157" s="134"/>
      <c r="DG157" s="134"/>
      <c r="DH157" s="134"/>
      <c r="DI157" s="134"/>
      <c r="DJ157" s="134"/>
      <c r="DK157" s="134"/>
      <c r="DL157" s="134"/>
      <c r="DM157" s="134"/>
      <c r="DN157" s="134"/>
      <c r="DO157" s="134"/>
      <c r="DP157" s="134"/>
      <c r="DQ157" s="134"/>
      <c r="DR157" s="134"/>
      <c r="DS157" s="134"/>
      <c r="DT157" s="134"/>
      <c r="DU157" s="134"/>
      <c r="DV157" s="134"/>
      <c r="DW157" s="134"/>
      <c r="DX157" s="134"/>
      <c r="DY157" s="134"/>
      <c r="DZ157" s="134"/>
      <c r="EA157" s="134"/>
      <c r="EB157" s="134"/>
      <c r="EC157" s="134"/>
      <c r="ED157" s="134"/>
      <c r="EE157" s="134"/>
      <c r="EF157" s="134"/>
      <c r="EG157" s="134"/>
      <c r="EH157" s="134"/>
      <c r="EI157" s="134"/>
      <c r="EJ157" s="134"/>
      <c r="EK157" s="134"/>
      <c r="EL157" s="134"/>
      <c r="EM157" s="134"/>
      <c r="EN157" s="134"/>
      <c r="EO157" s="134"/>
      <c r="EP157" s="134"/>
      <c r="EQ157" s="134"/>
      <c r="ER157" s="134"/>
      <c r="ES157" s="134"/>
      <c r="ET157" s="134"/>
      <c r="EU157" s="134"/>
      <c r="EV157" s="134"/>
      <c r="EW157" s="134"/>
      <c r="EX157" s="134"/>
      <c r="EY157" s="134"/>
      <c r="EZ157" s="134"/>
      <c r="FA157" s="134"/>
      <c r="FB157" s="134"/>
      <c r="FC157" s="134"/>
      <c r="FD157" s="134"/>
      <c r="FE157" s="134"/>
      <c r="FF157" s="134"/>
      <c r="FG157" s="134"/>
      <c r="FH157" s="134"/>
      <c r="FI157" s="134"/>
      <c r="FJ157" s="134"/>
      <c r="FK157" s="134"/>
      <c r="FL157" s="134"/>
      <c r="FM157" s="134"/>
      <c r="FN157" s="134"/>
      <c r="FO157" s="134"/>
      <c r="FP157" s="134"/>
      <c r="FQ157" s="134"/>
      <c r="FR157" s="134"/>
      <c r="FS157" s="134"/>
      <c r="FT157" s="134"/>
      <c r="FU157" s="134"/>
      <c r="FV157" s="134"/>
      <c r="FW157" s="134"/>
      <c r="FX157" s="134"/>
      <c r="FY157" s="134"/>
      <c r="FZ157" s="134"/>
      <c r="GA157" s="134"/>
      <c r="GB157" s="134"/>
      <c r="GC157" s="134"/>
      <c r="GD157" s="134"/>
      <c r="GE157" s="134"/>
      <c r="GF157" s="134"/>
      <c r="GG157" s="134"/>
      <c r="GH157" s="134"/>
      <c r="GI157" s="134"/>
      <c r="GJ157" s="134"/>
      <c r="GK157" s="134"/>
      <c r="GL157" s="134"/>
      <c r="GM157" s="134"/>
      <c r="GN157" s="134"/>
      <c r="GO157" s="134"/>
      <c r="GP157" s="134"/>
      <c r="GQ157" s="134"/>
      <c r="GR157" s="134"/>
      <c r="GS157" s="134"/>
      <c r="GT157" s="134"/>
      <c r="GU157" s="134"/>
      <c r="GV157" s="134"/>
      <c r="GW157" s="134"/>
      <c r="GX157" s="134"/>
      <c r="GY157" s="134"/>
      <c r="GZ157" s="134"/>
      <c r="HA157" s="134"/>
      <c r="HB157" s="134"/>
      <c r="HC157" s="134"/>
      <c r="HD157" s="134"/>
      <c r="HE157" s="134"/>
      <c r="HF157" s="134"/>
      <c r="HG157" s="134"/>
      <c r="HH157" s="134"/>
      <c r="HI157" s="134"/>
      <c r="HJ157" s="134"/>
      <c r="HK157" s="134"/>
      <c r="HL157" s="134"/>
      <c r="HM157" s="134"/>
      <c r="HN157" s="134"/>
      <c r="HO157" s="134"/>
      <c r="HP157" s="134"/>
      <c r="HQ157" s="134"/>
      <c r="HR157" s="134"/>
      <c r="HS157" s="134"/>
      <c r="HT157" s="134"/>
      <c r="HU157" s="134"/>
      <c r="HV157" s="134"/>
      <c r="HW157" s="134"/>
      <c r="HX157" s="134"/>
      <c r="HY157" s="134"/>
      <c r="HZ157" s="134"/>
      <c r="IA157" s="134"/>
      <c r="IB157" s="134"/>
      <c r="IC157" s="134"/>
      <c r="ID157" s="134"/>
      <c r="IE157" s="134"/>
      <c r="IF157" s="134"/>
      <c r="IG157" s="134"/>
      <c r="IH157" s="134"/>
      <c r="II157" s="134"/>
      <c r="IJ157" s="134"/>
      <c r="IK157" s="134"/>
      <c r="IL157" s="134"/>
      <c r="IM157" s="134"/>
      <c r="IN157" s="134"/>
      <c r="IO157" s="134"/>
      <c r="IP157" s="134"/>
      <c r="IQ157" s="134"/>
      <c r="IR157" s="134"/>
      <c r="IS157" s="134"/>
      <c r="IT157" s="134"/>
      <c r="IU157" s="134"/>
    </row>
    <row r="158" spans="1:255" ht="36" customHeight="1" x14ac:dyDescent="0.2">
      <c r="A158" s="341" t="str">
        <f>IF($C$30="","Datacenter",IF($C$30="Yes","Datacenter - Optional based on QUALIFIER response.","Datacenter"))</f>
        <v>Datacenter</v>
      </c>
      <c r="B158" s="341"/>
      <c r="C158" s="234" t="str">
        <f>$C$22</f>
        <v>Reason for Question</v>
      </c>
      <c r="D158" s="234" t="str">
        <f>$D$22</f>
        <v>Follow-up Inquiries/Responses</v>
      </c>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c r="HI158" s="134"/>
      <c r="HJ158" s="134"/>
      <c r="HK158" s="134"/>
      <c r="HL158" s="134"/>
      <c r="HM158" s="134"/>
      <c r="HN158" s="134"/>
      <c r="HO158" s="134"/>
      <c r="HP158" s="134"/>
      <c r="HQ158" s="134"/>
      <c r="HR158" s="134"/>
      <c r="HS158" s="134"/>
      <c r="HT158" s="134"/>
      <c r="HU158" s="134"/>
      <c r="HV158" s="134"/>
      <c r="HW158" s="134"/>
      <c r="HX158" s="134"/>
      <c r="HY158" s="134"/>
      <c r="HZ158" s="134"/>
      <c r="IA158" s="134"/>
      <c r="IB158" s="134"/>
      <c r="IC158" s="134"/>
      <c r="ID158" s="134"/>
      <c r="IE158" s="134"/>
      <c r="IF158" s="134"/>
      <c r="IG158" s="134"/>
      <c r="IH158" s="134"/>
      <c r="II158" s="134"/>
      <c r="IJ158" s="134"/>
      <c r="IK158" s="134"/>
      <c r="IL158" s="134"/>
      <c r="IM158" s="134"/>
      <c r="IN158" s="134"/>
      <c r="IO158" s="134"/>
      <c r="IP158" s="134"/>
      <c r="IQ158" s="134"/>
      <c r="IR158" s="134"/>
      <c r="IS158" s="134"/>
      <c r="IT158" s="134"/>
      <c r="IU158" s="134"/>
    </row>
    <row r="159" spans="1:255" ht="64" customHeight="1" x14ac:dyDescent="0.2">
      <c r="A159" s="236" t="str">
        <f>'HECVAT - Full'!A159</f>
        <v>DCTR-01</v>
      </c>
      <c r="B159" s="236" t="str">
        <f>VLOOKUP(A159,'HECVAT - Full'!A$24:B$312,2,FALSE)</f>
        <v>Does your company own the physical data center where the Institution's data will reside?</v>
      </c>
      <c r="C159" s="239" t="s">
        <v>2849</v>
      </c>
      <c r="D159" s="244" t="s">
        <v>2850</v>
      </c>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c r="EC159" s="134"/>
      <c r="ED159" s="134"/>
      <c r="EE159" s="134"/>
      <c r="EF159" s="134"/>
      <c r="EG159" s="134"/>
      <c r="EH159" s="134"/>
      <c r="EI159" s="134"/>
      <c r="EJ159" s="134"/>
      <c r="EK159" s="134"/>
      <c r="EL159" s="134"/>
      <c r="EM159" s="134"/>
      <c r="EN159" s="134"/>
      <c r="EO159" s="134"/>
      <c r="EP159" s="134"/>
      <c r="EQ159" s="134"/>
      <c r="ER159" s="134"/>
      <c r="ES159" s="134"/>
      <c r="ET159" s="134"/>
      <c r="EU159" s="134"/>
      <c r="EV159" s="134"/>
      <c r="EW159" s="134"/>
      <c r="EX159" s="134"/>
      <c r="EY159" s="134"/>
      <c r="EZ159" s="134"/>
      <c r="FA159" s="134"/>
      <c r="FB159" s="134"/>
      <c r="FC159" s="134"/>
      <c r="FD159" s="134"/>
      <c r="FE159" s="134"/>
      <c r="FF159" s="134"/>
      <c r="FG159" s="134"/>
      <c r="FH159" s="134"/>
      <c r="FI159" s="134"/>
      <c r="FJ159" s="134"/>
      <c r="FK159" s="134"/>
      <c r="FL159" s="134"/>
      <c r="FM159" s="134"/>
      <c r="FN159" s="134"/>
      <c r="FO159" s="134"/>
      <c r="FP159" s="134"/>
      <c r="FQ159" s="134"/>
      <c r="FR159" s="134"/>
      <c r="FS159" s="134"/>
      <c r="FT159" s="134"/>
      <c r="FU159" s="134"/>
      <c r="FV159" s="134"/>
      <c r="FW159" s="134"/>
      <c r="FX159" s="134"/>
      <c r="FY159" s="134"/>
      <c r="FZ159" s="134"/>
      <c r="GA159" s="134"/>
      <c r="GB159" s="134"/>
      <c r="GC159" s="134"/>
      <c r="GD159" s="134"/>
      <c r="GE159" s="134"/>
      <c r="GF159" s="134"/>
      <c r="GG159" s="134"/>
      <c r="GH159" s="134"/>
      <c r="GI159" s="134"/>
      <c r="GJ159" s="134"/>
      <c r="GK159" s="134"/>
      <c r="GL159" s="134"/>
      <c r="GM159" s="134"/>
      <c r="GN159" s="134"/>
      <c r="GO159" s="134"/>
      <c r="GP159" s="134"/>
      <c r="GQ159" s="134"/>
      <c r="GR159" s="134"/>
      <c r="GS159" s="134"/>
      <c r="GT159" s="134"/>
      <c r="GU159" s="134"/>
      <c r="GV159" s="134"/>
      <c r="GW159" s="134"/>
      <c r="GX159" s="134"/>
      <c r="GY159" s="134"/>
      <c r="GZ159" s="134"/>
      <c r="HA159" s="134"/>
      <c r="HB159" s="134"/>
      <c r="HC159" s="134"/>
      <c r="HD159" s="134"/>
      <c r="HE159" s="134"/>
      <c r="HF159" s="134"/>
      <c r="HG159" s="134"/>
      <c r="HH159" s="134"/>
      <c r="HI159" s="134"/>
      <c r="HJ159" s="134"/>
      <c r="HK159" s="134"/>
      <c r="HL159" s="134"/>
      <c r="HM159" s="134"/>
      <c r="HN159" s="134"/>
      <c r="HO159" s="134"/>
      <c r="HP159" s="134"/>
      <c r="HQ159" s="134"/>
      <c r="HR159" s="134"/>
      <c r="HS159" s="134"/>
      <c r="HT159" s="134"/>
      <c r="HU159" s="134"/>
      <c r="HV159" s="134"/>
      <c r="HW159" s="134"/>
      <c r="HX159" s="134"/>
      <c r="HY159" s="134"/>
      <c r="HZ159" s="134"/>
      <c r="IA159" s="134"/>
      <c r="IB159" s="134"/>
      <c r="IC159" s="134"/>
      <c r="ID159" s="134"/>
      <c r="IE159" s="134"/>
      <c r="IF159" s="134"/>
      <c r="IG159" s="134"/>
      <c r="IH159" s="134"/>
      <c r="II159" s="134"/>
      <c r="IJ159" s="134"/>
      <c r="IK159" s="134"/>
      <c r="IL159" s="134"/>
      <c r="IM159" s="134"/>
      <c r="IN159" s="134"/>
      <c r="IO159" s="134"/>
      <c r="IP159" s="134"/>
      <c r="IQ159" s="134"/>
      <c r="IR159" s="134"/>
      <c r="IS159" s="134"/>
      <c r="IT159" s="134"/>
      <c r="IU159" s="134"/>
    </row>
    <row r="160" spans="1:255" ht="180" x14ac:dyDescent="0.2">
      <c r="A160" s="236" t="str">
        <f>'HECVAT - Full'!A160</f>
        <v>DCTR-02</v>
      </c>
      <c r="B160" s="236" t="str">
        <f>VLOOKUP(A160,'HECVAT - Full'!A$24:B$312,2,FALSE)</f>
        <v>Does the hosting provider have a SOC 2 Type 2 report available?</v>
      </c>
      <c r="C160" s="239" t="s">
        <v>2851</v>
      </c>
      <c r="D160" s="244" t="s">
        <v>2852</v>
      </c>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c r="EC160" s="134"/>
      <c r="ED160" s="134"/>
      <c r="EE160" s="134"/>
      <c r="EF160" s="134"/>
      <c r="EG160" s="134"/>
      <c r="EH160" s="134"/>
      <c r="EI160" s="134"/>
      <c r="EJ160" s="134"/>
      <c r="EK160" s="134"/>
      <c r="EL160" s="134"/>
      <c r="EM160" s="134"/>
      <c r="EN160" s="134"/>
      <c r="EO160" s="134"/>
      <c r="EP160" s="134"/>
      <c r="EQ160" s="134"/>
      <c r="ER160" s="134"/>
      <c r="ES160" s="134"/>
      <c r="ET160" s="134"/>
      <c r="EU160" s="134"/>
      <c r="EV160" s="134"/>
      <c r="EW160" s="134"/>
      <c r="EX160" s="134"/>
      <c r="EY160" s="134"/>
      <c r="EZ160" s="134"/>
      <c r="FA160" s="134"/>
      <c r="FB160" s="134"/>
      <c r="FC160" s="134"/>
      <c r="FD160" s="134"/>
      <c r="FE160" s="134"/>
      <c r="FF160" s="134"/>
      <c r="FG160" s="134"/>
      <c r="FH160" s="134"/>
      <c r="FI160" s="134"/>
      <c r="FJ160" s="134"/>
      <c r="FK160" s="134"/>
      <c r="FL160" s="134"/>
      <c r="FM160" s="134"/>
      <c r="FN160" s="134"/>
      <c r="FO160" s="134"/>
      <c r="FP160" s="134"/>
      <c r="FQ160" s="134"/>
      <c r="FR160" s="134"/>
      <c r="FS160" s="134"/>
      <c r="FT160" s="134"/>
      <c r="FU160" s="134"/>
      <c r="FV160" s="134"/>
      <c r="FW160" s="134"/>
      <c r="FX160" s="134"/>
      <c r="FY160" s="134"/>
      <c r="FZ160" s="134"/>
      <c r="GA160" s="134"/>
      <c r="GB160" s="134"/>
      <c r="GC160" s="134"/>
      <c r="GD160" s="134"/>
      <c r="GE160" s="134"/>
      <c r="GF160" s="134"/>
      <c r="GG160" s="134"/>
      <c r="GH160" s="134"/>
      <c r="GI160" s="134"/>
      <c r="GJ160" s="134"/>
      <c r="GK160" s="134"/>
      <c r="GL160" s="134"/>
      <c r="GM160" s="134"/>
      <c r="GN160" s="134"/>
      <c r="GO160" s="134"/>
      <c r="GP160" s="134"/>
      <c r="GQ160" s="134"/>
      <c r="GR160" s="134"/>
      <c r="GS160" s="134"/>
      <c r="GT160" s="134"/>
      <c r="GU160" s="134"/>
      <c r="GV160" s="134"/>
      <c r="GW160" s="134"/>
      <c r="GX160" s="134"/>
      <c r="GY160" s="134"/>
      <c r="GZ160" s="134"/>
      <c r="HA160" s="134"/>
      <c r="HB160" s="134"/>
      <c r="HC160" s="134"/>
      <c r="HD160" s="134"/>
      <c r="HE160" s="134"/>
      <c r="HF160" s="134"/>
      <c r="HG160" s="134"/>
      <c r="HH160" s="134"/>
      <c r="HI160" s="134"/>
      <c r="HJ160" s="134"/>
      <c r="HK160" s="134"/>
      <c r="HL160" s="134"/>
      <c r="HM160" s="134"/>
      <c r="HN160" s="134"/>
      <c r="HO160" s="134"/>
      <c r="HP160" s="134"/>
      <c r="HQ160" s="134"/>
      <c r="HR160" s="134"/>
      <c r="HS160" s="134"/>
      <c r="HT160" s="134"/>
      <c r="HU160" s="134"/>
      <c r="HV160" s="134"/>
      <c r="HW160" s="134"/>
      <c r="HX160" s="134"/>
      <c r="HY160" s="134"/>
      <c r="HZ160" s="134"/>
      <c r="IA160" s="134"/>
      <c r="IB160" s="134"/>
      <c r="IC160" s="134"/>
      <c r="ID160" s="134"/>
      <c r="IE160" s="134"/>
      <c r="IF160" s="134"/>
      <c r="IG160" s="134"/>
      <c r="IH160" s="134"/>
      <c r="II160" s="134"/>
      <c r="IJ160" s="134"/>
      <c r="IK160" s="134"/>
      <c r="IL160" s="134"/>
      <c r="IM160" s="134"/>
      <c r="IN160" s="134"/>
      <c r="IO160" s="134"/>
      <c r="IP160" s="134"/>
      <c r="IQ160" s="134"/>
      <c r="IR160" s="134"/>
      <c r="IS160" s="134"/>
      <c r="IT160" s="134"/>
      <c r="IU160" s="134"/>
    </row>
    <row r="161" spans="1:255" ht="79.5" customHeight="1" x14ac:dyDescent="0.2">
      <c r="A161" s="236" t="str">
        <f>'HECVAT - Full'!A161</f>
        <v>DCTR-03</v>
      </c>
      <c r="B161" s="236" t="str">
        <f>VLOOKUP(A161,'HECVAT - Full'!A$24:B$312,2,FALSE)</f>
        <v>Are the data centers staffed 24 hours a day, seven days a week (i.e., 24x7x365)?</v>
      </c>
      <c r="C161" s="237" t="s">
        <v>2853</v>
      </c>
      <c r="D161" s="247" t="s">
        <v>2854</v>
      </c>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c r="CZ161" s="134"/>
      <c r="DA161" s="134"/>
      <c r="DB161" s="134"/>
      <c r="DC161" s="134"/>
      <c r="DD161" s="134"/>
      <c r="DE161" s="134"/>
      <c r="DF161" s="134"/>
      <c r="DG161" s="134"/>
      <c r="DH161" s="134"/>
      <c r="DI161" s="134"/>
      <c r="DJ161" s="134"/>
      <c r="DK161" s="134"/>
      <c r="DL161" s="134"/>
      <c r="DM161" s="134"/>
      <c r="DN161" s="134"/>
      <c r="DO161" s="134"/>
      <c r="DP161" s="134"/>
      <c r="DQ161" s="134"/>
      <c r="DR161" s="134"/>
      <c r="DS161" s="134"/>
      <c r="DT161" s="134"/>
      <c r="DU161" s="134"/>
      <c r="DV161" s="134"/>
      <c r="DW161" s="134"/>
      <c r="DX161" s="134"/>
      <c r="DY161" s="134"/>
      <c r="DZ161" s="134"/>
      <c r="EA161" s="134"/>
      <c r="EB161" s="134"/>
      <c r="EC161" s="134"/>
      <c r="ED161" s="134"/>
      <c r="EE161" s="134"/>
      <c r="EF161" s="134"/>
      <c r="EG161" s="134"/>
      <c r="EH161" s="134"/>
      <c r="EI161" s="134"/>
      <c r="EJ161" s="134"/>
      <c r="EK161" s="134"/>
      <c r="EL161" s="134"/>
      <c r="EM161" s="134"/>
      <c r="EN161" s="134"/>
      <c r="EO161" s="134"/>
      <c r="EP161" s="134"/>
      <c r="EQ161" s="134"/>
      <c r="ER161" s="134"/>
      <c r="ES161" s="134"/>
      <c r="ET161" s="134"/>
      <c r="EU161" s="134"/>
      <c r="EV161" s="134"/>
      <c r="EW161" s="134"/>
      <c r="EX161" s="134"/>
      <c r="EY161" s="134"/>
      <c r="EZ161" s="134"/>
      <c r="FA161" s="134"/>
      <c r="FB161" s="134"/>
      <c r="FC161" s="134"/>
      <c r="FD161" s="134"/>
      <c r="FE161" s="134"/>
      <c r="FF161" s="134"/>
      <c r="FG161" s="134"/>
      <c r="FH161" s="134"/>
      <c r="FI161" s="134"/>
      <c r="FJ161" s="134"/>
      <c r="FK161" s="134"/>
      <c r="FL161" s="134"/>
      <c r="FM161" s="134"/>
      <c r="FN161" s="134"/>
      <c r="FO161" s="134"/>
      <c r="FP161" s="134"/>
      <c r="FQ161" s="134"/>
      <c r="FR161" s="134"/>
      <c r="FS161" s="134"/>
      <c r="FT161" s="134"/>
      <c r="FU161" s="134"/>
      <c r="FV161" s="134"/>
      <c r="FW161" s="134"/>
      <c r="FX161" s="134"/>
      <c r="FY161" s="134"/>
      <c r="FZ161" s="134"/>
      <c r="GA161" s="134"/>
      <c r="GB161" s="134"/>
      <c r="GC161" s="134"/>
      <c r="GD161" s="134"/>
      <c r="GE161" s="134"/>
      <c r="GF161" s="134"/>
      <c r="GG161" s="134"/>
      <c r="GH161" s="134"/>
      <c r="GI161" s="134"/>
      <c r="GJ161" s="134"/>
      <c r="GK161" s="134"/>
      <c r="GL161" s="134"/>
      <c r="GM161" s="134"/>
      <c r="GN161" s="134"/>
      <c r="GO161" s="134"/>
      <c r="GP161" s="134"/>
      <c r="GQ161" s="134"/>
      <c r="GR161" s="134"/>
      <c r="GS161" s="134"/>
      <c r="GT161" s="134"/>
      <c r="GU161" s="134"/>
      <c r="GV161" s="134"/>
      <c r="GW161" s="134"/>
      <c r="GX161" s="134"/>
      <c r="GY161" s="134"/>
      <c r="GZ161" s="134"/>
      <c r="HA161" s="134"/>
      <c r="HB161" s="134"/>
      <c r="HC161" s="134"/>
      <c r="HD161" s="134"/>
      <c r="HE161" s="134"/>
      <c r="HF161" s="134"/>
      <c r="HG161" s="134"/>
      <c r="HH161" s="134"/>
      <c r="HI161" s="134"/>
      <c r="HJ161" s="134"/>
      <c r="HK161" s="134"/>
      <c r="HL161" s="134"/>
      <c r="HM161" s="134"/>
      <c r="HN161" s="134"/>
      <c r="HO161" s="134"/>
      <c r="HP161" s="134"/>
      <c r="HQ161" s="134"/>
      <c r="HR161" s="134"/>
      <c r="HS161" s="134"/>
      <c r="HT161" s="134"/>
      <c r="HU161" s="134"/>
      <c r="HV161" s="134"/>
      <c r="HW161" s="134"/>
      <c r="HX161" s="134"/>
      <c r="HY161" s="134"/>
      <c r="HZ161" s="134"/>
      <c r="IA161" s="134"/>
      <c r="IB161" s="134"/>
      <c r="IC161" s="134"/>
      <c r="ID161" s="134"/>
      <c r="IE161" s="134"/>
      <c r="IF161" s="134"/>
      <c r="IG161" s="134"/>
      <c r="IH161" s="134"/>
      <c r="II161" s="134"/>
      <c r="IJ161" s="134"/>
      <c r="IK161" s="134"/>
      <c r="IL161" s="134"/>
      <c r="IM161" s="134"/>
      <c r="IN161" s="134"/>
      <c r="IO161" s="134"/>
      <c r="IP161" s="134"/>
      <c r="IQ161" s="134"/>
      <c r="IR161" s="134"/>
      <c r="IS161" s="134"/>
      <c r="IT161" s="134"/>
      <c r="IU161" s="134"/>
    </row>
    <row r="162" spans="1:255" ht="64.5" customHeight="1" x14ac:dyDescent="0.2">
      <c r="A162" s="236" t="str">
        <f>'HECVAT - Full'!A162</f>
        <v>DCTR-04</v>
      </c>
      <c r="B162" s="236" t="str">
        <f>VLOOKUP(A162,'HECVAT - Full'!A$24:B$312,2,FALSE)</f>
        <v>Do any of your servers reside in a co-located data center?</v>
      </c>
      <c r="C162" s="237" t="s">
        <v>2855</v>
      </c>
      <c r="D162" s="247" t="s">
        <v>2856</v>
      </c>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34"/>
      <c r="BQ162" s="134"/>
      <c r="BR162" s="134"/>
      <c r="BS162" s="134"/>
      <c r="BT162" s="134"/>
      <c r="BU162" s="134"/>
      <c r="BV162" s="134"/>
      <c r="BW162" s="134"/>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c r="FW162" s="134"/>
      <c r="FX162" s="134"/>
      <c r="FY162" s="134"/>
      <c r="FZ162" s="134"/>
      <c r="GA162" s="134"/>
      <c r="GB162" s="134"/>
      <c r="GC162" s="134"/>
      <c r="GD162" s="134"/>
      <c r="GE162" s="134"/>
      <c r="GF162" s="134"/>
      <c r="GG162" s="134"/>
      <c r="GH162" s="134"/>
      <c r="GI162" s="134"/>
      <c r="GJ162" s="134"/>
      <c r="GK162" s="134"/>
      <c r="GL162" s="134"/>
      <c r="GM162" s="134"/>
      <c r="GN162" s="134"/>
      <c r="GO162" s="134"/>
      <c r="GP162" s="134"/>
      <c r="GQ162" s="134"/>
      <c r="GR162" s="134"/>
      <c r="GS162" s="134"/>
      <c r="GT162" s="134"/>
      <c r="GU162" s="134"/>
      <c r="GV162" s="134"/>
      <c r="GW162" s="134"/>
      <c r="GX162" s="134"/>
      <c r="GY162" s="134"/>
      <c r="GZ162" s="134"/>
      <c r="HA162" s="134"/>
      <c r="HB162" s="134"/>
      <c r="HC162" s="134"/>
      <c r="HD162" s="134"/>
      <c r="HE162" s="134"/>
      <c r="HF162" s="134"/>
      <c r="HG162" s="134"/>
      <c r="HH162" s="134"/>
      <c r="HI162" s="134"/>
      <c r="HJ162" s="134"/>
      <c r="HK162" s="134"/>
      <c r="HL162" s="134"/>
      <c r="HM162" s="134"/>
      <c r="HN162" s="134"/>
      <c r="HO162" s="134"/>
      <c r="HP162" s="134"/>
      <c r="HQ162" s="134"/>
      <c r="HR162" s="134"/>
      <c r="HS162" s="134"/>
      <c r="HT162" s="134"/>
      <c r="HU162" s="134"/>
      <c r="HV162" s="134"/>
      <c r="HW162" s="134"/>
      <c r="HX162" s="134"/>
      <c r="HY162" s="134"/>
      <c r="HZ162" s="134"/>
      <c r="IA162" s="134"/>
      <c r="IB162" s="134"/>
      <c r="IC162" s="134"/>
      <c r="ID162" s="134"/>
      <c r="IE162" s="134"/>
      <c r="IF162" s="134"/>
      <c r="IG162" s="134"/>
      <c r="IH162" s="134"/>
      <c r="II162" s="134"/>
      <c r="IJ162" s="134"/>
      <c r="IK162" s="134"/>
      <c r="IL162" s="134"/>
      <c r="IM162" s="134"/>
      <c r="IN162" s="134"/>
      <c r="IO162" s="134"/>
      <c r="IP162" s="134"/>
      <c r="IQ162" s="134"/>
      <c r="IR162" s="134"/>
      <c r="IS162" s="134"/>
      <c r="IT162" s="134"/>
      <c r="IU162" s="134"/>
    </row>
    <row r="163" spans="1:255" ht="92.25" customHeight="1" x14ac:dyDescent="0.2">
      <c r="A163" s="236" t="str">
        <f>'HECVAT - Full'!A163</f>
        <v>DCTR-05</v>
      </c>
      <c r="B163" s="236" t="str">
        <f>VLOOKUP(A163,'HECVAT - Full'!A$24:B$312,2,FALSE)</f>
        <v>Are your servers separated from other companies via a physical barrier, such as a cage or hardened walls?</v>
      </c>
      <c r="C163" s="239" t="s">
        <v>2857</v>
      </c>
      <c r="D163" s="244" t="s">
        <v>2858</v>
      </c>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134"/>
      <c r="CT163" s="134"/>
      <c r="CU163" s="134"/>
      <c r="CV163" s="134"/>
      <c r="CW163" s="134"/>
      <c r="CX163" s="134"/>
      <c r="CY163" s="134"/>
      <c r="CZ163" s="134"/>
      <c r="DA163" s="134"/>
      <c r="DB163" s="134"/>
      <c r="DC163" s="134"/>
      <c r="DD163" s="134"/>
      <c r="DE163" s="134"/>
      <c r="DF163" s="134"/>
      <c r="DG163" s="134"/>
      <c r="DH163" s="134"/>
      <c r="DI163" s="134"/>
      <c r="DJ163" s="134"/>
      <c r="DK163" s="134"/>
      <c r="DL163" s="134"/>
      <c r="DM163" s="134"/>
      <c r="DN163" s="134"/>
      <c r="DO163" s="134"/>
      <c r="DP163" s="134"/>
      <c r="DQ163" s="134"/>
      <c r="DR163" s="134"/>
      <c r="DS163" s="134"/>
      <c r="DT163" s="134"/>
      <c r="DU163" s="134"/>
      <c r="DV163" s="134"/>
      <c r="DW163" s="134"/>
      <c r="DX163" s="134"/>
      <c r="DY163" s="134"/>
      <c r="DZ163" s="134"/>
      <c r="EA163" s="134"/>
      <c r="EB163" s="134"/>
      <c r="EC163" s="134"/>
      <c r="ED163" s="134"/>
      <c r="EE163" s="134"/>
      <c r="EF163" s="134"/>
      <c r="EG163" s="134"/>
      <c r="EH163" s="134"/>
      <c r="EI163" s="134"/>
      <c r="EJ163" s="134"/>
      <c r="EK163" s="134"/>
      <c r="EL163" s="134"/>
      <c r="EM163" s="134"/>
      <c r="EN163" s="134"/>
      <c r="EO163" s="134"/>
      <c r="EP163" s="134"/>
      <c r="EQ163" s="134"/>
      <c r="ER163" s="134"/>
      <c r="ES163" s="134"/>
      <c r="ET163" s="134"/>
      <c r="EU163" s="134"/>
      <c r="EV163" s="134"/>
      <c r="EW163" s="134"/>
      <c r="EX163" s="134"/>
      <c r="EY163" s="134"/>
      <c r="EZ163" s="134"/>
      <c r="FA163" s="134"/>
      <c r="FB163" s="134"/>
      <c r="FC163" s="134"/>
      <c r="FD163" s="134"/>
      <c r="FE163" s="134"/>
      <c r="FF163" s="134"/>
      <c r="FG163" s="134"/>
      <c r="FH163" s="134"/>
      <c r="FI163" s="134"/>
      <c r="FJ163" s="134"/>
      <c r="FK163" s="134"/>
      <c r="FL163" s="134"/>
      <c r="FM163" s="134"/>
      <c r="FN163" s="134"/>
      <c r="FO163" s="134"/>
      <c r="FP163" s="134"/>
      <c r="FQ163" s="134"/>
      <c r="FR163" s="134"/>
      <c r="FS163" s="134"/>
      <c r="FT163" s="134"/>
      <c r="FU163" s="134"/>
      <c r="FV163" s="134"/>
      <c r="FW163" s="134"/>
      <c r="FX163" s="134"/>
      <c r="FY163" s="134"/>
      <c r="FZ163" s="134"/>
      <c r="GA163" s="134"/>
      <c r="GB163" s="134"/>
      <c r="GC163" s="134"/>
      <c r="GD163" s="134"/>
      <c r="GE163" s="134"/>
      <c r="GF163" s="134"/>
      <c r="GG163" s="134"/>
      <c r="GH163" s="134"/>
      <c r="GI163" s="134"/>
      <c r="GJ163" s="134"/>
      <c r="GK163" s="134"/>
      <c r="GL163" s="134"/>
      <c r="GM163" s="134"/>
      <c r="GN163" s="134"/>
      <c r="GO163" s="134"/>
      <c r="GP163" s="134"/>
      <c r="GQ163" s="134"/>
      <c r="GR163" s="134"/>
      <c r="GS163" s="134"/>
      <c r="GT163" s="134"/>
      <c r="GU163" s="134"/>
      <c r="GV163" s="134"/>
      <c r="GW163" s="134"/>
      <c r="GX163" s="134"/>
      <c r="GY163" s="134"/>
      <c r="GZ163" s="134"/>
      <c r="HA163" s="134"/>
      <c r="HB163" s="134"/>
      <c r="HC163" s="134"/>
      <c r="HD163" s="134"/>
      <c r="HE163" s="134"/>
      <c r="HF163" s="134"/>
      <c r="HG163" s="134"/>
      <c r="HH163" s="134"/>
      <c r="HI163" s="134"/>
      <c r="HJ163" s="134"/>
      <c r="HK163" s="134"/>
      <c r="HL163" s="134"/>
      <c r="HM163" s="134"/>
      <c r="HN163" s="134"/>
      <c r="HO163" s="134"/>
      <c r="HP163" s="134"/>
      <c r="HQ163" s="134"/>
      <c r="HR163" s="134"/>
      <c r="HS163" s="134"/>
      <c r="HT163" s="134"/>
      <c r="HU163" s="134"/>
      <c r="HV163" s="134"/>
      <c r="HW163" s="134"/>
      <c r="HX163" s="134"/>
      <c r="HY163" s="134"/>
      <c r="HZ163" s="134"/>
      <c r="IA163" s="134"/>
      <c r="IB163" s="134"/>
      <c r="IC163" s="134"/>
      <c r="ID163" s="134"/>
      <c r="IE163" s="134"/>
      <c r="IF163" s="134"/>
      <c r="IG163" s="134"/>
      <c r="IH163" s="134"/>
      <c r="II163" s="134"/>
      <c r="IJ163" s="134"/>
      <c r="IK163" s="134"/>
      <c r="IL163" s="134"/>
      <c r="IM163" s="134"/>
      <c r="IN163" s="134"/>
      <c r="IO163" s="134"/>
      <c r="IP163" s="134"/>
      <c r="IQ163" s="134"/>
      <c r="IR163" s="134"/>
      <c r="IS163" s="134"/>
      <c r="IT163" s="134"/>
      <c r="IU163" s="134"/>
    </row>
    <row r="164" spans="1:255" ht="92.25" customHeight="1" x14ac:dyDescent="0.2">
      <c r="A164" s="236" t="str">
        <f>'HECVAT - Full'!A164</f>
        <v>DCTR-06</v>
      </c>
      <c r="B164" s="236" t="str">
        <f>VLOOKUP(A164,'HECVAT - Full'!A$24:B$312,2,FALSE)</f>
        <v>Does a physical barrier fully enclose the physical space preventing unauthorized physical contact with any of your devices?</v>
      </c>
      <c r="C164" s="239" t="s">
        <v>2857</v>
      </c>
      <c r="D164" s="244" t="s">
        <v>2858</v>
      </c>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c r="FW164" s="134"/>
      <c r="FX164" s="134"/>
      <c r="FY164" s="134"/>
      <c r="FZ164" s="134"/>
      <c r="GA164" s="134"/>
      <c r="GB164" s="134"/>
      <c r="GC164" s="134"/>
      <c r="GD164" s="134"/>
      <c r="GE164" s="134"/>
      <c r="GF164" s="134"/>
      <c r="GG164" s="134"/>
      <c r="GH164" s="134"/>
      <c r="GI164" s="134"/>
      <c r="GJ164" s="134"/>
      <c r="GK164" s="134"/>
      <c r="GL164" s="134"/>
      <c r="GM164" s="134"/>
      <c r="GN164" s="134"/>
      <c r="GO164" s="134"/>
      <c r="GP164" s="134"/>
      <c r="GQ164" s="134"/>
      <c r="GR164" s="134"/>
      <c r="GS164" s="134"/>
      <c r="GT164" s="134"/>
      <c r="GU164" s="134"/>
      <c r="GV164" s="134"/>
      <c r="GW164" s="134"/>
      <c r="GX164" s="134"/>
      <c r="GY164" s="134"/>
      <c r="GZ164" s="134"/>
      <c r="HA164" s="134"/>
      <c r="HB164" s="134"/>
      <c r="HC164" s="134"/>
      <c r="HD164" s="134"/>
      <c r="HE164" s="134"/>
      <c r="HF164" s="134"/>
      <c r="HG164" s="134"/>
      <c r="HH164" s="134"/>
      <c r="HI164" s="134"/>
      <c r="HJ164" s="134"/>
      <c r="HK164" s="134"/>
      <c r="HL164" s="134"/>
      <c r="HM164" s="134"/>
      <c r="HN164" s="134"/>
      <c r="HO164" s="134"/>
      <c r="HP164" s="134"/>
      <c r="HQ164" s="134"/>
      <c r="HR164" s="134"/>
      <c r="HS164" s="134"/>
      <c r="HT164" s="134"/>
      <c r="HU164" s="134"/>
      <c r="HV164" s="134"/>
      <c r="HW164" s="134"/>
      <c r="HX164" s="134"/>
      <c r="HY164" s="134"/>
      <c r="HZ164" s="134"/>
      <c r="IA164" s="134"/>
      <c r="IB164" s="134"/>
      <c r="IC164" s="134"/>
      <c r="ID164" s="134"/>
      <c r="IE164" s="134"/>
      <c r="IF164" s="134"/>
      <c r="IG164" s="134"/>
      <c r="IH164" s="134"/>
      <c r="II164" s="134"/>
      <c r="IJ164" s="134"/>
      <c r="IK164" s="134"/>
      <c r="IL164" s="134"/>
      <c r="IM164" s="134"/>
      <c r="IN164" s="134"/>
      <c r="IO164" s="134"/>
      <c r="IP164" s="134"/>
      <c r="IQ164" s="134"/>
      <c r="IR164" s="134"/>
      <c r="IS164" s="134"/>
      <c r="IT164" s="134"/>
      <c r="IU164" s="134"/>
    </row>
    <row r="165" spans="1:255" ht="105" x14ac:dyDescent="0.2">
      <c r="A165" s="236" t="str">
        <f>'HECVAT - Full'!A165</f>
        <v>DCTR-07</v>
      </c>
      <c r="B165" s="236" t="str">
        <f>VLOOKUP(A165,'HECVAT - Full'!A$24:B$312,2,FALSE)</f>
        <v>Select the option that best describes the network segment that servers are connected to.</v>
      </c>
      <c r="C165" s="237" t="s">
        <v>2859</v>
      </c>
      <c r="D165" s="247" t="s">
        <v>2860</v>
      </c>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134"/>
      <c r="CT165" s="134"/>
      <c r="CU165" s="134"/>
      <c r="CV165" s="134"/>
      <c r="CW165" s="134"/>
      <c r="CX165" s="134"/>
      <c r="CY165" s="134"/>
      <c r="CZ165" s="134"/>
      <c r="DA165" s="134"/>
      <c r="DB165" s="134"/>
      <c r="DC165" s="134"/>
      <c r="DD165" s="134"/>
      <c r="DE165" s="134"/>
      <c r="DF165" s="134"/>
      <c r="DG165" s="134"/>
      <c r="DH165" s="134"/>
      <c r="DI165" s="134"/>
      <c r="DJ165" s="134"/>
      <c r="DK165" s="134"/>
      <c r="DL165" s="134"/>
      <c r="DM165" s="134"/>
      <c r="DN165" s="134"/>
      <c r="DO165" s="134"/>
      <c r="DP165" s="134"/>
      <c r="DQ165" s="134"/>
      <c r="DR165" s="134"/>
      <c r="DS165" s="134"/>
      <c r="DT165" s="134"/>
      <c r="DU165" s="134"/>
      <c r="DV165" s="134"/>
      <c r="DW165" s="134"/>
      <c r="DX165" s="134"/>
      <c r="DY165" s="134"/>
      <c r="DZ165" s="134"/>
      <c r="EA165" s="134"/>
      <c r="EB165" s="134"/>
      <c r="EC165" s="134"/>
      <c r="ED165" s="134"/>
      <c r="EE165" s="134"/>
      <c r="EF165" s="134"/>
      <c r="EG165" s="134"/>
      <c r="EH165" s="134"/>
      <c r="EI165" s="134"/>
      <c r="EJ165" s="134"/>
      <c r="EK165" s="134"/>
      <c r="EL165" s="134"/>
      <c r="EM165" s="134"/>
      <c r="EN165" s="134"/>
      <c r="EO165" s="134"/>
      <c r="EP165" s="134"/>
      <c r="EQ165" s="134"/>
      <c r="ER165" s="134"/>
      <c r="ES165" s="134"/>
      <c r="ET165" s="134"/>
      <c r="EU165" s="134"/>
      <c r="EV165" s="134"/>
      <c r="EW165" s="134"/>
      <c r="EX165" s="134"/>
      <c r="EY165" s="134"/>
      <c r="EZ165" s="134"/>
      <c r="FA165" s="134"/>
      <c r="FB165" s="134"/>
      <c r="FC165" s="134"/>
      <c r="FD165" s="134"/>
      <c r="FE165" s="134"/>
      <c r="FF165" s="134"/>
      <c r="FG165" s="134"/>
      <c r="FH165" s="134"/>
      <c r="FI165" s="134"/>
      <c r="FJ165" s="134"/>
      <c r="FK165" s="134"/>
      <c r="FL165" s="134"/>
      <c r="FM165" s="134"/>
      <c r="FN165" s="134"/>
      <c r="FO165" s="134"/>
      <c r="FP165" s="134"/>
      <c r="FQ165" s="134"/>
      <c r="FR165" s="134"/>
      <c r="FS165" s="134"/>
      <c r="FT165" s="134"/>
      <c r="FU165" s="134"/>
      <c r="FV165" s="134"/>
      <c r="FW165" s="134"/>
      <c r="FX165" s="134"/>
      <c r="FY165" s="134"/>
      <c r="FZ165" s="134"/>
      <c r="GA165" s="134"/>
      <c r="GB165" s="134"/>
      <c r="GC165" s="134"/>
      <c r="GD165" s="134"/>
      <c r="GE165" s="134"/>
      <c r="GF165" s="134"/>
      <c r="GG165" s="134"/>
      <c r="GH165" s="134"/>
      <c r="GI165" s="134"/>
      <c r="GJ165" s="134"/>
      <c r="GK165" s="134"/>
      <c r="GL165" s="134"/>
      <c r="GM165" s="134"/>
      <c r="GN165" s="134"/>
      <c r="GO165" s="134"/>
      <c r="GP165" s="134"/>
      <c r="GQ165" s="134"/>
      <c r="GR165" s="134"/>
      <c r="GS165" s="134"/>
      <c r="GT165" s="134"/>
      <c r="GU165" s="134"/>
      <c r="GV165" s="134"/>
      <c r="GW165" s="134"/>
      <c r="GX165" s="134"/>
      <c r="GY165" s="134"/>
      <c r="GZ165" s="134"/>
      <c r="HA165" s="134"/>
      <c r="HB165" s="134"/>
      <c r="HC165" s="134"/>
      <c r="HD165" s="134"/>
      <c r="HE165" s="134"/>
      <c r="HF165" s="134"/>
      <c r="HG165" s="134"/>
      <c r="HH165" s="134"/>
      <c r="HI165" s="134"/>
      <c r="HJ165" s="134"/>
      <c r="HK165" s="134"/>
      <c r="HL165" s="134"/>
      <c r="HM165" s="134"/>
      <c r="HN165" s="134"/>
      <c r="HO165" s="134"/>
      <c r="HP165" s="134"/>
      <c r="HQ165" s="134"/>
      <c r="HR165" s="134"/>
      <c r="HS165" s="134"/>
      <c r="HT165" s="134"/>
      <c r="HU165" s="134"/>
      <c r="HV165" s="134"/>
      <c r="HW165" s="134"/>
      <c r="HX165" s="134"/>
      <c r="HY165" s="134"/>
      <c r="HZ165" s="134"/>
      <c r="IA165" s="134"/>
      <c r="IB165" s="134"/>
      <c r="IC165" s="134"/>
      <c r="ID165" s="134"/>
      <c r="IE165" s="134"/>
      <c r="IF165" s="134"/>
      <c r="IG165" s="134"/>
      <c r="IH165" s="134"/>
      <c r="II165" s="134"/>
      <c r="IJ165" s="134"/>
      <c r="IK165" s="134"/>
      <c r="IL165" s="134"/>
      <c r="IM165" s="134"/>
      <c r="IN165" s="134"/>
      <c r="IO165" s="134"/>
      <c r="IP165" s="134"/>
      <c r="IQ165" s="134"/>
      <c r="IR165" s="134"/>
      <c r="IS165" s="134"/>
      <c r="IT165" s="134"/>
      <c r="IU165" s="134"/>
    </row>
    <row r="166" spans="1:255" ht="90" x14ac:dyDescent="0.2">
      <c r="A166" s="236" t="str">
        <f>'HECVAT - Full'!A166</f>
        <v>DCTR-08</v>
      </c>
      <c r="B166" s="236" t="str">
        <f>VLOOKUP(A166,'HECVAT - Full'!A$24:B$312,2,FALSE)</f>
        <v>Does this data center operate outside of the Institution's Data Zone?</v>
      </c>
      <c r="C166" s="239" t="s">
        <v>2837</v>
      </c>
      <c r="D166" s="244" t="s">
        <v>2861</v>
      </c>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34"/>
      <c r="CQ166" s="134"/>
      <c r="CR166" s="134"/>
      <c r="CS166" s="134"/>
      <c r="CT166" s="134"/>
      <c r="CU166" s="134"/>
      <c r="CV166" s="134"/>
      <c r="CW166" s="134"/>
      <c r="CX166" s="134"/>
      <c r="CY166" s="134"/>
      <c r="CZ166" s="134"/>
      <c r="DA166" s="134"/>
      <c r="DB166" s="134"/>
      <c r="DC166" s="134"/>
      <c r="DD166" s="134"/>
      <c r="DE166" s="134"/>
      <c r="DF166" s="134"/>
      <c r="DG166" s="134"/>
      <c r="DH166" s="134"/>
      <c r="DI166" s="134"/>
      <c r="DJ166" s="134"/>
      <c r="DK166" s="134"/>
      <c r="DL166" s="134"/>
      <c r="DM166" s="134"/>
      <c r="DN166" s="134"/>
      <c r="DO166" s="134"/>
      <c r="DP166" s="134"/>
      <c r="DQ166" s="134"/>
      <c r="DR166" s="134"/>
      <c r="DS166" s="134"/>
      <c r="DT166" s="134"/>
      <c r="DU166" s="134"/>
      <c r="DV166" s="134"/>
      <c r="DW166" s="134"/>
      <c r="DX166" s="134"/>
      <c r="DY166" s="134"/>
      <c r="DZ166" s="134"/>
      <c r="EA166" s="134"/>
      <c r="EB166" s="134"/>
      <c r="EC166" s="134"/>
      <c r="ED166" s="134"/>
      <c r="EE166" s="134"/>
      <c r="EF166" s="134"/>
      <c r="EG166" s="134"/>
      <c r="EH166" s="134"/>
      <c r="EI166" s="134"/>
      <c r="EJ166" s="134"/>
      <c r="EK166" s="134"/>
      <c r="EL166" s="134"/>
      <c r="EM166" s="134"/>
      <c r="EN166" s="134"/>
      <c r="EO166" s="134"/>
      <c r="EP166" s="134"/>
      <c r="EQ166" s="134"/>
      <c r="ER166" s="134"/>
      <c r="ES166" s="134"/>
      <c r="ET166" s="134"/>
      <c r="EU166" s="134"/>
      <c r="EV166" s="134"/>
      <c r="EW166" s="134"/>
      <c r="EX166" s="134"/>
      <c r="EY166" s="134"/>
      <c r="EZ166" s="134"/>
      <c r="FA166" s="134"/>
      <c r="FB166" s="134"/>
      <c r="FC166" s="134"/>
      <c r="FD166" s="134"/>
      <c r="FE166" s="134"/>
      <c r="FF166" s="134"/>
      <c r="FG166" s="134"/>
      <c r="FH166" s="134"/>
      <c r="FI166" s="134"/>
      <c r="FJ166" s="134"/>
      <c r="FK166" s="134"/>
      <c r="FL166" s="134"/>
      <c r="FM166" s="134"/>
      <c r="FN166" s="134"/>
      <c r="FO166" s="134"/>
      <c r="FP166" s="134"/>
      <c r="FQ166" s="134"/>
      <c r="FR166" s="134"/>
      <c r="FS166" s="134"/>
      <c r="FT166" s="134"/>
      <c r="FU166" s="134"/>
      <c r="FV166" s="134"/>
      <c r="FW166" s="134"/>
      <c r="FX166" s="134"/>
      <c r="FY166" s="134"/>
      <c r="FZ166" s="134"/>
      <c r="GA166" s="134"/>
      <c r="GB166" s="134"/>
      <c r="GC166" s="134"/>
      <c r="GD166" s="134"/>
      <c r="GE166" s="134"/>
      <c r="GF166" s="134"/>
      <c r="GG166" s="134"/>
      <c r="GH166" s="134"/>
      <c r="GI166" s="134"/>
      <c r="GJ166" s="134"/>
      <c r="GK166" s="134"/>
      <c r="GL166" s="134"/>
      <c r="GM166" s="134"/>
      <c r="GN166" s="134"/>
      <c r="GO166" s="134"/>
      <c r="GP166" s="134"/>
      <c r="GQ166" s="134"/>
      <c r="GR166" s="134"/>
      <c r="GS166" s="134"/>
      <c r="GT166" s="134"/>
      <c r="GU166" s="134"/>
      <c r="GV166" s="134"/>
      <c r="GW166" s="134"/>
      <c r="GX166" s="134"/>
      <c r="GY166" s="134"/>
      <c r="GZ166" s="134"/>
      <c r="HA166" s="134"/>
      <c r="HB166" s="134"/>
      <c r="HC166" s="134"/>
      <c r="HD166" s="134"/>
      <c r="HE166" s="134"/>
      <c r="HF166" s="134"/>
      <c r="HG166" s="134"/>
      <c r="HH166" s="134"/>
      <c r="HI166" s="134"/>
      <c r="HJ166" s="134"/>
      <c r="HK166" s="134"/>
      <c r="HL166" s="134"/>
      <c r="HM166" s="134"/>
      <c r="HN166" s="134"/>
      <c r="HO166" s="134"/>
      <c r="HP166" s="134"/>
      <c r="HQ166" s="134"/>
      <c r="HR166" s="134"/>
      <c r="HS166" s="134"/>
      <c r="HT166" s="134"/>
      <c r="HU166" s="134"/>
      <c r="HV166" s="134"/>
      <c r="HW166" s="134"/>
      <c r="HX166" s="134"/>
      <c r="HY166" s="134"/>
      <c r="HZ166" s="134"/>
      <c r="IA166" s="134"/>
      <c r="IB166" s="134"/>
      <c r="IC166" s="134"/>
      <c r="ID166" s="134"/>
      <c r="IE166" s="134"/>
      <c r="IF166" s="134"/>
      <c r="IG166" s="134"/>
      <c r="IH166" s="134"/>
      <c r="II166" s="134"/>
      <c r="IJ166" s="134"/>
      <c r="IK166" s="134"/>
      <c r="IL166" s="134"/>
      <c r="IM166" s="134"/>
      <c r="IN166" s="134"/>
      <c r="IO166" s="134"/>
      <c r="IP166" s="134"/>
      <c r="IQ166" s="134"/>
      <c r="IR166" s="134"/>
      <c r="IS166" s="134"/>
      <c r="IT166" s="134"/>
      <c r="IU166" s="134"/>
    </row>
    <row r="167" spans="1:255" ht="90" x14ac:dyDescent="0.2">
      <c r="A167" s="236" t="str">
        <f>'HECVAT - Full'!A167</f>
        <v>DCTR-09</v>
      </c>
      <c r="B167" s="236" t="str">
        <f>VLOOKUP(A167,'HECVAT - Full'!A$24:B$312,2,FALSE)</f>
        <v>Will any institution data leave the Institution's Data Zone?</v>
      </c>
      <c r="C167" s="239" t="s">
        <v>2837</v>
      </c>
      <c r="D167" s="244" t="s">
        <v>2838</v>
      </c>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134"/>
      <c r="GY167" s="134"/>
      <c r="GZ167" s="134"/>
      <c r="HA167" s="134"/>
      <c r="HB167" s="134"/>
      <c r="HC167" s="134"/>
      <c r="HD167" s="134"/>
      <c r="HE167" s="134"/>
      <c r="HF167" s="134"/>
      <c r="HG167" s="134"/>
      <c r="HH167" s="134"/>
      <c r="HI167" s="134"/>
      <c r="HJ167" s="134"/>
      <c r="HK167" s="134"/>
      <c r="HL167" s="134"/>
      <c r="HM167" s="134"/>
      <c r="HN167" s="134"/>
      <c r="HO167" s="134"/>
      <c r="HP167" s="134"/>
      <c r="HQ167" s="134"/>
      <c r="HR167" s="134"/>
      <c r="HS167" s="134"/>
      <c r="HT167" s="134"/>
      <c r="HU167" s="134"/>
      <c r="HV167" s="134"/>
      <c r="HW167" s="134"/>
      <c r="HX167" s="134"/>
      <c r="HY167" s="134"/>
      <c r="HZ167" s="134"/>
      <c r="IA167" s="134"/>
      <c r="IB167" s="134"/>
      <c r="IC167" s="134"/>
      <c r="ID167" s="134"/>
      <c r="IE167" s="134"/>
      <c r="IF167" s="134"/>
      <c r="IG167" s="134"/>
      <c r="IH167" s="134"/>
      <c r="II167" s="134"/>
      <c r="IJ167" s="134"/>
      <c r="IK167" s="134"/>
      <c r="IL167" s="134"/>
      <c r="IM167" s="134"/>
      <c r="IN167" s="134"/>
      <c r="IO167" s="134"/>
      <c r="IP167" s="134"/>
      <c r="IQ167" s="134"/>
      <c r="IR167" s="134"/>
      <c r="IS167" s="134"/>
      <c r="IT167" s="134"/>
      <c r="IU167" s="134"/>
    </row>
    <row r="168" spans="1:255" ht="90" x14ac:dyDescent="0.2">
      <c r="A168" s="236" t="str">
        <f>'HECVAT - Full'!A168</f>
        <v>DCTR-10</v>
      </c>
      <c r="B168" s="236" t="str">
        <f>VLOOKUP(A168,'HECVAT - Full'!A$24:B$312,2,FALSE)</f>
        <v xml:space="preserve">List all datacenters and the cities, states (provinces), and countries where the Institution's data will be stored (including within the Institution's Data Zone).   </v>
      </c>
      <c r="C168" s="239" t="s">
        <v>2837</v>
      </c>
      <c r="D168" s="244" t="s">
        <v>2861</v>
      </c>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c r="CZ168" s="134"/>
      <c r="DA168" s="134"/>
      <c r="DB168" s="134"/>
      <c r="DC168" s="134"/>
      <c r="DD168" s="134"/>
      <c r="DE168" s="134"/>
      <c r="DF168" s="134"/>
      <c r="DG168" s="134"/>
      <c r="DH168" s="134"/>
      <c r="DI168" s="134"/>
      <c r="DJ168" s="134"/>
      <c r="DK168" s="134"/>
      <c r="DL168" s="134"/>
      <c r="DM168" s="134"/>
      <c r="DN168" s="134"/>
      <c r="DO168" s="134"/>
      <c r="DP168" s="134"/>
      <c r="DQ168" s="134"/>
      <c r="DR168" s="134"/>
      <c r="DS168" s="134"/>
      <c r="DT168" s="134"/>
      <c r="DU168" s="134"/>
      <c r="DV168" s="134"/>
      <c r="DW168" s="134"/>
      <c r="DX168" s="134"/>
      <c r="DY168" s="134"/>
      <c r="DZ168" s="134"/>
      <c r="EA168" s="134"/>
      <c r="EB168" s="134"/>
      <c r="EC168" s="134"/>
      <c r="ED168" s="134"/>
      <c r="EE168" s="134"/>
      <c r="EF168" s="134"/>
      <c r="EG168" s="134"/>
      <c r="EH168" s="134"/>
      <c r="EI168" s="134"/>
      <c r="EJ168" s="134"/>
      <c r="EK168" s="134"/>
      <c r="EL168" s="134"/>
      <c r="EM168" s="134"/>
      <c r="EN168" s="134"/>
      <c r="EO168" s="134"/>
      <c r="EP168" s="134"/>
      <c r="EQ168" s="134"/>
      <c r="ER168" s="134"/>
      <c r="ES168" s="134"/>
      <c r="ET168" s="134"/>
      <c r="EU168" s="134"/>
      <c r="EV168" s="134"/>
      <c r="EW168" s="134"/>
      <c r="EX168" s="134"/>
      <c r="EY168" s="134"/>
      <c r="EZ168" s="134"/>
      <c r="FA168" s="134"/>
      <c r="FB168" s="134"/>
      <c r="FC168" s="134"/>
      <c r="FD168" s="134"/>
      <c r="FE168" s="134"/>
      <c r="FF168" s="134"/>
      <c r="FG168" s="134"/>
      <c r="FH168" s="134"/>
      <c r="FI168" s="134"/>
      <c r="FJ168" s="134"/>
      <c r="FK168" s="134"/>
      <c r="FL168" s="134"/>
      <c r="FM168" s="134"/>
      <c r="FN168" s="134"/>
      <c r="FO168" s="134"/>
      <c r="FP168" s="134"/>
      <c r="FQ168" s="134"/>
      <c r="FR168" s="134"/>
      <c r="FS168" s="134"/>
      <c r="FT168" s="134"/>
      <c r="FU168" s="134"/>
      <c r="FV168" s="134"/>
      <c r="FW168" s="134"/>
      <c r="FX168" s="134"/>
      <c r="FY168" s="134"/>
      <c r="FZ168" s="134"/>
      <c r="GA168" s="134"/>
      <c r="GB168" s="134"/>
      <c r="GC168" s="134"/>
      <c r="GD168" s="134"/>
      <c r="GE168" s="134"/>
      <c r="GF168" s="134"/>
      <c r="GG168" s="134"/>
      <c r="GH168" s="134"/>
      <c r="GI168" s="134"/>
      <c r="GJ168" s="134"/>
      <c r="GK168" s="134"/>
      <c r="GL168" s="134"/>
      <c r="GM168" s="134"/>
      <c r="GN168" s="134"/>
      <c r="GO168" s="134"/>
      <c r="GP168" s="134"/>
      <c r="GQ168" s="134"/>
      <c r="GR168" s="134"/>
      <c r="GS168" s="134"/>
      <c r="GT168" s="134"/>
      <c r="GU168" s="134"/>
      <c r="GV168" s="134"/>
      <c r="GW168" s="134"/>
      <c r="GX168" s="134"/>
      <c r="GY168" s="134"/>
      <c r="GZ168" s="134"/>
      <c r="HA168" s="134"/>
      <c r="HB168" s="134"/>
      <c r="HC168" s="134"/>
      <c r="HD168" s="134"/>
      <c r="HE168" s="134"/>
      <c r="HF168" s="134"/>
      <c r="HG168" s="134"/>
      <c r="HH168" s="134"/>
      <c r="HI168" s="134"/>
      <c r="HJ168" s="134"/>
      <c r="HK168" s="134"/>
      <c r="HL168" s="134"/>
      <c r="HM168" s="134"/>
      <c r="HN168" s="134"/>
      <c r="HO168" s="134"/>
      <c r="HP168" s="134"/>
      <c r="HQ168" s="134"/>
      <c r="HR168" s="134"/>
      <c r="HS168" s="134"/>
      <c r="HT168" s="134"/>
      <c r="HU168" s="134"/>
      <c r="HV168" s="134"/>
      <c r="HW168" s="134"/>
      <c r="HX168" s="134"/>
      <c r="HY168" s="134"/>
      <c r="HZ168" s="134"/>
      <c r="IA168" s="134"/>
      <c r="IB168" s="134"/>
      <c r="IC168" s="134"/>
      <c r="ID168" s="134"/>
      <c r="IE168" s="134"/>
      <c r="IF168" s="134"/>
      <c r="IG168" s="134"/>
      <c r="IH168" s="134"/>
      <c r="II168" s="134"/>
      <c r="IJ168" s="134"/>
      <c r="IK168" s="134"/>
      <c r="IL168" s="134"/>
      <c r="IM168" s="134"/>
      <c r="IN168" s="134"/>
      <c r="IO168" s="134"/>
      <c r="IP168" s="134"/>
      <c r="IQ168" s="134"/>
      <c r="IR168" s="134"/>
      <c r="IS168" s="134"/>
      <c r="IT168" s="134"/>
      <c r="IU168" s="134"/>
    </row>
    <row r="169" spans="1:255" ht="60" x14ac:dyDescent="0.2">
      <c r="A169" s="236" t="str">
        <f>'HECVAT - Full'!A169</f>
        <v>DCTR-11</v>
      </c>
      <c r="B169" s="236" t="str">
        <f>VLOOKUP(A169,'HECVAT - Full'!A$24:B$312,2,FALSE)</f>
        <v>Are your primary and secondary data centers geographically diverse?</v>
      </c>
      <c r="C169" s="237" t="s">
        <v>2862</v>
      </c>
      <c r="D169" s="247" t="s">
        <v>2863</v>
      </c>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c r="CZ169" s="134"/>
      <c r="DA169" s="134"/>
      <c r="DB169" s="134"/>
      <c r="DC169" s="134"/>
      <c r="DD169" s="134"/>
      <c r="DE169" s="134"/>
      <c r="DF169" s="134"/>
      <c r="DG169" s="134"/>
      <c r="DH169" s="134"/>
      <c r="DI169" s="134"/>
      <c r="DJ169" s="134"/>
      <c r="DK169" s="134"/>
      <c r="DL169" s="134"/>
      <c r="DM169" s="134"/>
      <c r="DN169" s="134"/>
      <c r="DO169" s="134"/>
      <c r="DP169" s="134"/>
      <c r="DQ169" s="134"/>
      <c r="DR169" s="134"/>
      <c r="DS169" s="134"/>
      <c r="DT169" s="134"/>
      <c r="DU169" s="134"/>
      <c r="DV169" s="134"/>
      <c r="DW169" s="134"/>
      <c r="DX169" s="134"/>
      <c r="DY169" s="134"/>
      <c r="DZ169" s="134"/>
      <c r="EA169" s="134"/>
      <c r="EB169" s="134"/>
      <c r="EC169" s="134"/>
      <c r="ED169" s="134"/>
      <c r="EE169" s="134"/>
      <c r="EF169" s="134"/>
      <c r="EG169" s="134"/>
      <c r="EH169" s="134"/>
      <c r="EI169" s="134"/>
      <c r="EJ169" s="134"/>
      <c r="EK169" s="134"/>
      <c r="EL169" s="134"/>
      <c r="EM169" s="134"/>
      <c r="EN169" s="134"/>
      <c r="EO169" s="134"/>
      <c r="EP169" s="134"/>
      <c r="EQ169" s="134"/>
      <c r="ER169" s="134"/>
      <c r="ES169" s="134"/>
      <c r="ET169" s="134"/>
      <c r="EU169" s="134"/>
      <c r="EV169" s="134"/>
      <c r="EW169" s="134"/>
      <c r="EX169" s="134"/>
      <c r="EY169" s="134"/>
      <c r="EZ169" s="134"/>
      <c r="FA169" s="134"/>
      <c r="FB169" s="134"/>
      <c r="FC169" s="134"/>
      <c r="FD169" s="134"/>
      <c r="FE169" s="134"/>
      <c r="FF169" s="134"/>
      <c r="FG169" s="134"/>
      <c r="FH169" s="134"/>
      <c r="FI169" s="134"/>
      <c r="FJ169" s="134"/>
      <c r="FK169" s="134"/>
      <c r="FL169" s="134"/>
      <c r="FM169" s="134"/>
      <c r="FN169" s="134"/>
      <c r="FO169" s="134"/>
      <c r="FP169" s="134"/>
      <c r="FQ169" s="134"/>
      <c r="FR169" s="134"/>
      <c r="FS169" s="134"/>
      <c r="FT169" s="134"/>
      <c r="FU169" s="134"/>
      <c r="FV169" s="134"/>
      <c r="FW169" s="134"/>
      <c r="FX169" s="134"/>
      <c r="FY169" s="134"/>
      <c r="FZ169" s="134"/>
      <c r="GA169" s="134"/>
      <c r="GB169" s="134"/>
      <c r="GC169" s="134"/>
      <c r="GD169" s="134"/>
      <c r="GE169" s="134"/>
      <c r="GF169" s="134"/>
      <c r="GG169" s="134"/>
      <c r="GH169" s="134"/>
      <c r="GI169" s="134"/>
      <c r="GJ169" s="134"/>
      <c r="GK169" s="134"/>
      <c r="GL169" s="134"/>
      <c r="GM169" s="134"/>
      <c r="GN169" s="134"/>
      <c r="GO169" s="134"/>
      <c r="GP169" s="134"/>
      <c r="GQ169" s="134"/>
      <c r="GR169" s="134"/>
      <c r="GS169" s="134"/>
      <c r="GT169" s="134"/>
      <c r="GU169" s="134"/>
      <c r="GV169" s="134"/>
      <c r="GW169" s="134"/>
      <c r="GX169" s="134"/>
      <c r="GY169" s="134"/>
      <c r="GZ169" s="134"/>
      <c r="HA169" s="134"/>
      <c r="HB169" s="134"/>
      <c r="HC169" s="134"/>
      <c r="HD169" s="134"/>
      <c r="HE169" s="134"/>
      <c r="HF169" s="134"/>
      <c r="HG169" s="134"/>
      <c r="HH169" s="134"/>
      <c r="HI169" s="134"/>
      <c r="HJ169" s="134"/>
      <c r="HK169" s="134"/>
      <c r="HL169" s="134"/>
      <c r="HM169" s="134"/>
      <c r="HN169" s="134"/>
      <c r="HO169" s="134"/>
      <c r="HP169" s="134"/>
      <c r="HQ169" s="134"/>
      <c r="HR169" s="134"/>
      <c r="HS169" s="134"/>
      <c r="HT169" s="134"/>
      <c r="HU169" s="134"/>
      <c r="HV169" s="134"/>
      <c r="HW169" s="134"/>
      <c r="HX169" s="134"/>
      <c r="HY169" s="134"/>
      <c r="HZ169" s="134"/>
      <c r="IA169" s="134"/>
      <c r="IB169" s="134"/>
      <c r="IC169" s="134"/>
      <c r="ID169" s="134"/>
      <c r="IE169" s="134"/>
      <c r="IF169" s="134"/>
      <c r="IG169" s="134"/>
      <c r="IH169" s="134"/>
      <c r="II169" s="134"/>
      <c r="IJ169" s="134"/>
      <c r="IK169" s="134"/>
      <c r="IL169" s="134"/>
      <c r="IM169" s="134"/>
      <c r="IN169" s="134"/>
      <c r="IO169" s="134"/>
      <c r="IP169" s="134"/>
      <c r="IQ169" s="134"/>
      <c r="IR169" s="134"/>
      <c r="IS169" s="134"/>
      <c r="IT169" s="134"/>
      <c r="IU169" s="134"/>
    </row>
    <row r="170" spans="1:255" ht="90" x14ac:dyDescent="0.2">
      <c r="A170" s="236" t="str">
        <f>'HECVAT - Full'!A170</f>
        <v>DCTR-12</v>
      </c>
      <c r="B170" s="236" t="str">
        <f>VLOOKUP(A170,'HECVAT - Full'!A$24:B$312,2,FALSE)</f>
        <v>If outsourced or co-located, is there a contract in place to prevent data from leaving the Institution's Data Zone?</v>
      </c>
      <c r="C170" s="239" t="s">
        <v>2837</v>
      </c>
      <c r="D170" s="244" t="s">
        <v>2864</v>
      </c>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c r="CZ170" s="134"/>
      <c r="DA170" s="134"/>
      <c r="DB170" s="134"/>
      <c r="DC170" s="134"/>
      <c r="DD170" s="134"/>
      <c r="DE170" s="134"/>
      <c r="DF170" s="134"/>
      <c r="DG170" s="134"/>
      <c r="DH170" s="134"/>
      <c r="DI170" s="134"/>
      <c r="DJ170" s="134"/>
      <c r="DK170" s="134"/>
      <c r="DL170" s="134"/>
      <c r="DM170" s="134"/>
      <c r="DN170" s="134"/>
      <c r="DO170" s="134"/>
      <c r="DP170" s="134"/>
      <c r="DQ170" s="134"/>
      <c r="DR170" s="134"/>
      <c r="DS170" s="134"/>
      <c r="DT170" s="134"/>
      <c r="DU170" s="134"/>
      <c r="DV170" s="134"/>
      <c r="DW170" s="134"/>
      <c r="DX170" s="134"/>
      <c r="DY170" s="134"/>
      <c r="DZ170" s="134"/>
      <c r="EA170" s="134"/>
      <c r="EB170" s="134"/>
      <c r="EC170" s="134"/>
      <c r="ED170" s="134"/>
      <c r="EE170" s="134"/>
      <c r="EF170" s="134"/>
      <c r="EG170" s="134"/>
      <c r="EH170" s="134"/>
      <c r="EI170" s="134"/>
      <c r="EJ170" s="134"/>
      <c r="EK170" s="134"/>
      <c r="EL170" s="134"/>
      <c r="EM170" s="134"/>
      <c r="EN170" s="134"/>
      <c r="EO170" s="134"/>
      <c r="EP170" s="134"/>
      <c r="EQ170" s="134"/>
      <c r="ER170" s="134"/>
      <c r="ES170" s="134"/>
      <c r="ET170" s="134"/>
      <c r="EU170" s="134"/>
      <c r="EV170" s="134"/>
      <c r="EW170" s="134"/>
      <c r="EX170" s="134"/>
      <c r="EY170" s="134"/>
      <c r="EZ170" s="134"/>
      <c r="FA170" s="134"/>
      <c r="FB170" s="134"/>
      <c r="FC170" s="134"/>
      <c r="FD170" s="134"/>
      <c r="FE170" s="134"/>
      <c r="FF170" s="134"/>
      <c r="FG170" s="134"/>
      <c r="FH170" s="134"/>
      <c r="FI170" s="134"/>
      <c r="FJ170" s="134"/>
      <c r="FK170" s="134"/>
      <c r="FL170" s="134"/>
      <c r="FM170" s="134"/>
      <c r="FN170" s="134"/>
      <c r="FO170" s="134"/>
      <c r="FP170" s="134"/>
      <c r="FQ170" s="134"/>
      <c r="FR170" s="134"/>
      <c r="FS170" s="134"/>
      <c r="FT170" s="134"/>
      <c r="FU170" s="134"/>
      <c r="FV170" s="134"/>
      <c r="FW170" s="134"/>
      <c r="FX170" s="134"/>
      <c r="FY170" s="134"/>
      <c r="FZ170" s="134"/>
      <c r="GA170" s="134"/>
      <c r="GB170" s="134"/>
      <c r="GC170" s="134"/>
      <c r="GD170" s="134"/>
      <c r="GE170" s="134"/>
      <c r="GF170" s="134"/>
      <c r="GG170" s="134"/>
      <c r="GH170" s="134"/>
      <c r="GI170" s="134"/>
      <c r="GJ170" s="134"/>
      <c r="GK170" s="134"/>
      <c r="GL170" s="134"/>
      <c r="GM170" s="134"/>
      <c r="GN170" s="134"/>
      <c r="GO170" s="134"/>
      <c r="GP170" s="134"/>
      <c r="GQ170" s="134"/>
      <c r="GR170" s="134"/>
      <c r="GS170" s="134"/>
      <c r="GT170" s="134"/>
      <c r="GU170" s="134"/>
      <c r="GV170" s="134"/>
      <c r="GW170" s="134"/>
      <c r="GX170" s="134"/>
      <c r="GY170" s="134"/>
      <c r="GZ170" s="134"/>
      <c r="HA170" s="134"/>
      <c r="HB170" s="134"/>
      <c r="HC170" s="134"/>
      <c r="HD170" s="134"/>
      <c r="HE170" s="134"/>
      <c r="HF170" s="134"/>
      <c r="HG170" s="134"/>
      <c r="HH170" s="134"/>
      <c r="HI170" s="134"/>
      <c r="HJ170" s="134"/>
      <c r="HK170" s="134"/>
      <c r="HL170" s="134"/>
      <c r="HM170" s="134"/>
      <c r="HN170" s="134"/>
      <c r="HO170" s="134"/>
      <c r="HP170" s="134"/>
      <c r="HQ170" s="134"/>
      <c r="HR170" s="134"/>
      <c r="HS170" s="134"/>
      <c r="HT170" s="134"/>
      <c r="HU170" s="134"/>
      <c r="HV170" s="134"/>
      <c r="HW170" s="134"/>
      <c r="HX170" s="134"/>
      <c r="HY170" s="134"/>
      <c r="HZ170" s="134"/>
      <c r="IA170" s="134"/>
      <c r="IB170" s="134"/>
      <c r="IC170" s="134"/>
      <c r="ID170" s="134"/>
      <c r="IE170" s="134"/>
      <c r="IF170" s="134"/>
      <c r="IG170" s="134"/>
      <c r="IH170" s="134"/>
      <c r="II170" s="134"/>
      <c r="IJ170" s="134"/>
      <c r="IK170" s="134"/>
      <c r="IL170" s="134"/>
      <c r="IM170" s="134"/>
      <c r="IN170" s="134"/>
      <c r="IO170" s="134"/>
      <c r="IP170" s="134"/>
      <c r="IQ170" s="134"/>
      <c r="IR170" s="134"/>
      <c r="IS170" s="134"/>
      <c r="IT170" s="134"/>
      <c r="IU170" s="134"/>
    </row>
    <row r="171" spans="1:255" ht="64.25" customHeight="1" x14ac:dyDescent="0.2">
      <c r="A171" s="236" t="str">
        <f>'HECVAT - Full'!A171</f>
        <v>DCTR-13</v>
      </c>
      <c r="B171" s="236" t="str">
        <f>VLOOKUP(A171,'HECVAT - Full'!A$24:B$312,2,FALSE)</f>
        <v>What Tier Level is your data center (per levels defined by the Uptime Institute)?</v>
      </c>
      <c r="C171" s="269" t="s">
        <v>3028</v>
      </c>
      <c r="D171" s="244" t="s">
        <v>2865</v>
      </c>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row>
    <row r="172" spans="1:255" s="1" customFormat="1" ht="48" customHeight="1" x14ac:dyDescent="0.2">
      <c r="A172" s="236" t="str">
        <f>'HECVAT - Full'!A172</f>
        <v>DCTR-14</v>
      </c>
      <c r="B172" s="236" t="str">
        <f>VLOOKUP(A172,'HECVAT - Full'!A$24:B$312,2,FALSE)</f>
        <v>Is the service hosted in a high availability environment?</v>
      </c>
      <c r="C172" s="237" t="s">
        <v>2866</v>
      </c>
      <c r="D172" s="247" t="s">
        <v>2867</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x14ac:dyDescent="0.2">
      <c r="A173" s="236" t="str">
        <f>'HECVAT - Full'!A173</f>
        <v>DCTR-15</v>
      </c>
      <c r="B173" s="236" t="str">
        <f>VLOOKUP(A173,'HECVAT - Full'!A$24:B$312,2,FALSE)</f>
        <v xml:space="preserve">Is redundant power available for all datacenters where institution data will reside? </v>
      </c>
      <c r="C173" s="237" t="s">
        <v>2866</v>
      </c>
      <c r="D173" s="247" t="s">
        <v>2867</v>
      </c>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c r="FW173" s="134"/>
      <c r="FX173" s="134"/>
      <c r="FY173" s="134"/>
      <c r="FZ173" s="134"/>
      <c r="GA173" s="134"/>
      <c r="GB173" s="134"/>
      <c r="GC173" s="134"/>
      <c r="GD173" s="134"/>
      <c r="GE173" s="134"/>
      <c r="GF173" s="134"/>
      <c r="GG173" s="134"/>
      <c r="GH173" s="134"/>
      <c r="GI173" s="134"/>
      <c r="GJ173" s="134"/>
      <c r="GK173" s="134"/>
      <c r="GL173" s="134"/>
      <c r="GM173" s="134"/>
      <c r="GN173" s="134"/>
      <c r="GO173" s="134"/>
      <c r="GP173" s="134"/>
      <c r="GQ173" s="134"/>
      <c r="GR173" s="134"/>
      <c r="GS173" s="134"/>
      <c r="GT173" s="134"/>
      <c r="GU173" s="134"/>
      <c r="GV173" s="134"/>
      <c r="GW173" s="134"/>
      <c r="GX173" s="134"/>
      <c r="GY173" s="134"/>
      <c r="GZ173" s="134"/>
      <c r="HA173" s="134"/>
      <c r="HB173" s="134"/>
      <c r="HC173" s="134"/>
      <c r="HD173" s="134"/>
      <c r="HE173" s="134"/>
      <c r="HF173" s="134"/>
      <c r="HG173" s="134"/>
      <c r="HH173" s="134"/>
      <c r="HI173" s="134"/>
      <c r="HJ173" s="134"/>
      <c r="HK173" s="134"/>
      <c r="HL173" s="134"/>
      <c r="HM173" s="134"/>
      <c r="HN173" s="134"/>
      <c r="HO173" s="134"/>
      <c r="HP173" s="134"/>
      <c r="HQ173" s="134"/>
      <c r="HR173" s="134"/>
      <c r="HS173" s="134"/>
      <c r="HT173" s="134"/>
      <c r="HU173" s="134"/>
      <c r="HV173" s="134"/>
      <c r="HW173" s="134"/>
      <c r="HX173" s="134"/>
      <c r="HY173" s="134"/>
      <c r="HZ173" s="134"/>
      <c r="IA173" s="134"/>
      <c r="IB173" s="134"/>
      <c r="IC173" s="134"/>
      <c r="ID173" s="134"/>
      <c r="IE173" s="134"/>
      <c r="IF173" s="134"/>
      <c r="IG173" s="134"/>
      <c r="IH173" s="134"/>
      <c r="II173" s="134"/>
      <c r="IJ173" s="134"/>
      <c r="IK173" s="134"/>
      <c r="IL173" s="134"/>
      <c r="IM173" s="134"/>
      <c r="IN173" s="134"/>
      <c r="IO173" s="134"/>
      <c r="IP173" s="134"/>
      <c r="IQ173" s="134"/>
      <c r="IR173" s="134"/>
      <c r="IS173" s="134"/>
      <c r="IT173" s="134"/>
      <c r="IU173" s="134"/>
    </row>
    <row r="174" spans="1:255" ht="75" x14ac:dyDescent="0.2">
      <c r="A174" s="236" t="str">
        <f>'HECVAT - Full'!A174</f>
        <v>DCTR-16</v>
      </c>
      <c r="B174" s="236" t="str">
        <f>VLOOKUP(A174,'HECVAT - Full'!A$24:B$312,2,FALSE)</f>
        <v>Are redundant power strategies tested?</v>
      </c>
      <c r="C174" s="237" t="s">
        <v>2868</v>
      </c>
      <c r="D174" s="244" t="s">
        <v>2869</v>
      </c>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c r="CB174" s="134"/>
      <c r="CC174" s="134"/>
      <c r="CD174" s="134"/>
      <c r="CE174" s="134"/>
      <c r="CF174" s="134"/>
      <c r="CG174" s="134"/>
      <c r="CH174" s="134"/>
      <c r="CI174" s="134"/>
      <c r="CJ174" s="134"/>
      <c r="CK174" s="134"/>
      <c r="CL174" s="134"/>
      <c r="CM174" s="134"/>
      <c r="CN174" s="134"/>
      <c r="CO174" s="134"/>
      <c r="CP174" s="134"/>
      <c r="CQ174" s="134"/>
      <c r="CR174" s="134"/>
      <c r="CS174" s="134"/>
      <c r="CT174" s="134"/>
      <c r="CU174" s="134"/>
      <c r="CV174" s="134"/>
      <c r="CW174" s="134"/>
      <c r="CX174" s="134"/>
      <c r="CY174" s="134"/>
      <c r="CZ174" s="134"/>
      <c r="DA174" s="134"/>
      <c r="DB174" s="134"/>
      <c r="DC174" s="134"/>
      <c r="DD174" s="134"/>
      <c r="DE174" s="134"/>
      <c r="DF174" s="134"/>
      <c r="DG174" s="134"/>
      <c r="DH174" s="134"/>
      <c r="DI174" s="134"/>
      <c r="DJ174" s="134"/>
      <c r="DK174" s="134"/>
      <c r="DL174" s="134"/>
      <c r="DM174" s="134"/>
      <c r="DN174" s="134"/>
      <c r="DO174" s="134"/>
      <c r="DP174" s="134"/>
      <c r="DQ174" s="134"/>
      <c r="DR174" s="134"/>
      <c r="DS174" s="134"/>
      <c r="DT174" s="134"/>
      <c r="DU174" s="134"/>
      <c r="DV174" s="134"/>
      <c r="DW174" s="134"/>
      <c r="DX174" s="134"/>
      <c r="DY174" s="134"/>
      <c r="DZ174" s="134"/>
      <c r="EA174" s="134"/>
      <c r="EB174" s="134"/>
      <c r="EC174" s="134"/>
      <c r="ED174" s="134"/>
      <c r="EE174" s="134"/>
      <c r="EF174" s="134"/>
      <c r="EG174" s="134"/>
      <c r="EH174" s="134"/>
      <c r="EI174" s="134"/>
      <c r="EJ174" s="134"/>
      <c r="EK174" s="134"/>
      <c r="EL174" s="134"/>
      <c r="EM174" s="134"/>
      <c r="EN174" s="134"/>
      <c r="EO174" s="134"/>
      <c r="EP174" s="134"/>
      <c r="EQ174" s="134"/>
      <c r="ER174" s="134"/>
      <c r="ES174" s="134"/>
      <c r="ET174" s="134"/>
      <c r="EU174" s="134"/>
      <c r="EV174" s="134"/>
      <c r="EW174" s="134"/>
      <c r="EX174" s="134"/>
      <c r="EY174" s="134"/>
      <c r="EZ174" s="134"/>
      <c r="FA174" s="134"/>
      <c r="FB174" s="134"/>
      <c r="FC174" s="134"/>
      <c r="FD174" s="134"/>
      <c r="FE174" s="134"/>
      <c r="FF174" s="134"/>
      <c r="FG174" s="134"/>
      <c r="FH174" s="134"/>
      <c r="FI174" s="134"/>
      <c r="FJ174" s="134"/>
      <c r="FK174" s="134"/>
      <c r="FL174" s="134"/>
      <c r="FM174" s="134"/>
      <c r="FN174" s="134"/>
      <c r="FO174" s="134"/>
      <c r="FP174" s="134"/>
      <c r="FQ174" s="134"/>
      <c r="FR174" s="134"/>
      <c r="FS174" s="134"/>
      <c r="FT174" s="134"/>
      <c r="FU174" s="134"/>
      <c r="FV174" s="134"/>
      <c r="FW174" s="134"/>
      <c r="FX174" s="134"/>
      <c r="FY174" s="134"/>
      <c r="FZ174" s="134"/>
      <c r="GA174" s="134"/>
      <c r="GB174" s="134"/>
      <c r="GC174" s="134"/>
      <c r="GD174" s="134"/>
      <c r="GE174" s="134"/>
      <c r="GF174" s="134"/>
      <c r="GG174" s="134"/>
      <c r="GH174" s="134"/>
      <c r="GI174" s="134"/>
      <c r="GJ174" s="134"/>
      <c r="GK174" s="134"/>
      <c r="GL174" s="134"/>
      <c r="GM174" s="134"/>
      <c r="GN174" s="134"/>
      <c r="GO174" s="134"/>
      <c r="GP174" s="134"/>
      <c r="GQ174" s="134"/>
      <c r="GR174" s="134"/>
      <c r="GS174" s="134"/>
      <c r="GT174" s="134"/>
      <c r="GU174" s="134"/>
      <c r="GV174" s="134"/>
      <c r="GW174" s="134"/>
      <c r="GX174" s="134"/>
      <c r="GY174" s="134"/>
      <c r="GZ174" s="134"/>
      <c r="HA174" s="134"/>
      <c r="HB174" s="134"/>
      <c r="HC174" s="134"/>
      <c r="HD174" s="134"/>
      <c r="HE174" s="134"/>
      <c r="HF174" s="134"/>
      <c r="HG174" s="134"/>
      <c r="HH174" s="134"/>
      <c r="HI174" s="134"/>
      <c r="HJ174" s="134"/>
      <c r="HK174" s="134"/>
      <c r="HL174" s="134"/>
      <c r="HM174" s="134"/>
      <c r="HN174" s="134"/>
      <c r="HO174" s="134"/>
      <c r="HP174" s="134"/>
      <c r="HQ174" s="134"/>
      <c r="HR174" s="134"/>
      <c r="HS174" s="134"/>
      <c r="HT174" s="134"/>
      <c r="HU174" s="134"/>
      <c r="HV174" s="134"/>
      <c r="HW174" s="134"/>
      <c r="HX174" s="134"/>
      <c r="HY174" s="134"/>
      <c r="HZ174" s="134"/>
      <c r="IA174" s="134"/>
      <c r="IB174" s="134"/>
      <c r="IC174" s="134"/>
      <c r="ID174" s="134"/>
      <c r="IE174" s="134"/>
      <c r="IF174" s="134"/>
      <c r="IG174" s="134"/>
      <c r="IH174" s="134"/>
      <c r="II174" s="134"/>
      <c r="IJ174" s="134"/>
      <c r="IK174" s="134"/>
      <c r="IL174" s="134"/>
      <c r="IM174" s="134"/>
      <c r="IN174" s="134"/>
      <c r="IO174" s="134"/>
      <c r="IP174" s="134"/>
      <c r="IQ174" s="134"/>
      <c r="IR174" s="134"/>
      <c r="IS174" s="134"/>
      <c r="IT174" s="134"/>
      <c r="IU174" s="134"/>
    </row>
    <row r="175" spans="1:255" ht="80.25" customHeight="1" x14ac:dyDescent="0.2">
      <c r="A175" s="236" t="str">
        <f>'HECVAT - Full'!A175</f>
        <v>DCTR-17</v>
      </c>
      <c r="B175" s="236" t="str">
        <f>VLOOKUP(A175,'HECVAT - Full'!A$24:B$312,2,FALSE)</f>
        <v>Describe or provide a reference to the availability of cooling and fire suppression systems in all datacenters where institution data will reside.</v>
      </c>
      <c r="C175" s="237" t="s">
        <v>2870</v>
      </c>
      <c r="D175" s="244" t="s">
        <v>2871</v>
      </c>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c r="CB175" s="134"/>
      <c r="CC175" s="134"/>
      <c r="CD175" s="134"/>
      <c r="CE175" s="134"/>
      <c r="CF175" s="134"/>
      <c r="CG175" s="134"/>
      <c r="CH175" s="134"/>
      <c r="CI175" s="134"/>
      <c r="CJ175" s="134"/>
      <c r="CK175" s="134"/>
      <c r="CL175" s="134"/>
      <c r="CM175" s="134"/>
      <c r="CN175" s="134"/>
      <c r="CO175" s="134"/>
      <c r="CP175" s="134"/>
      <c r="CQ175" s="134"/>
      <c r="CR175" s="134"/>
      <c r="CS175" s="134"/>
      <c r="CT175" s="134"/>
      <c r="CU175" s="134"/>
      <c r="CV175" s="134"/>
      <c r="CW175" s="134"/>
      <c r="CX175" s="134"/>
      <c r="CY175" s="134"/>
      <c r="CZ175" s="134"/>
      <c r="DA175" s="134"/>
      <c r="DB175" s="134"/>
      <c r="DC175" s="134"/>
      <c r="DD175" s="134"/>
      <c r="DE175" s="134"/>
      <c r="DF175" s="134"/>
      <c r="DG175" s="134"/>
      <c r="DH175" s="134"/>
      <c r="DI175" s="134"/>
      <c r="DJ175" s="134"/>
      <c r="DK175" s="134"/>
      <c r="DL175" s="134"/>
      <c r="DM175" s="134"/>
      <c r="DN175" s="134"/>
      <c r="DO175" s="134"/>
      <c r="DP175" s="134"/>
      <c r="DQ175" s="134"/>
      <c r="DR175" s="134"/>
      <c r="DS175" s="134"/>
      <c r="DT175" s="134"/>
      <c r="DU175" s="134"/>
      <c r="DV175" s="134"/>
      <c r="DW175" s="134"/>
      <c r="DX175" s="134"/>
      <c r="DY175" s="134"/>
      <c r="DZ175" s="134"/>
      <c r="EA175" s="134"/>
      <c r="EB175" s="134"/>
      <c r="EC175" s="134"/>
      <c r="ED175" s="134"/>
      <c r="EE175" s="134"/>
      <c r="EF175" s="134"/>
      <c r="EG175" s="134"/>
      <c r="EH175" s="134"/>
      <c r="EI175" s="134"/>
      <c r="EJ175" s="134"/>
      <c r="EK175" s="134"/>
      <c r="EL175" s="134"/>
      <c r="EM175" s="134"/>
      <c r="EN175" s="134"/>
      <c r="EO175" s="134"/>
      <c r="EP175" s="134"/>
      <c r="EQ175" s="134"/>
      <c r="ER175" s="134"/>
      <c r="ES175" s="134"/>
      <c r="ET175" s="134"/>
      <c r="EU175" s="134"/>
      <c r="EV175" s="134"/>
      <c r="EW175" s="134"/>
      <c r="EX175" s="134"/>
      <c r="EY175" s="134"/>
      <c r="EZ175" s="134"/>
      <c r="FA175" s="134"/>
      <c r="FB175" s="134"/>
      <c r="FC175" s="134"/>
      <c r="FD175" s="134"/>
      <c r="FE175" s="134"/>
      <c r="FF175" s="134"/>
      <c r="FG175" s="134"/>
      <c r="FH175" s="134"/>
      <c r="FI175" s="134"/>
      <c r="FJ175" s="134"/>
      <c r="FK175" s="134"/>
      <c r="FL175" s="134"/>
      <c r="FM175" s="134"/>
      <c r="FN175" s="134"/>
      <c r="FO175" s="134"/>
      <c r="FP175" s="134"/>
      <c r="FQ175" s="134"/>
      <c r="FR175" s="134"/>
      <c r="FS175" s="134"/>
      <c r="FT175" s="134"/>
      <c r="FU175" s="134"/>
      <c r="FV175" s="134"/>
      <c r="FW175" s="134"/>
      <c r="FX175" s="134"/>
      <c r="FY175" s="134"/>
      <c r="FZ175" s="134"/>
      <c r="GA175" s="134"/>
      <c r="GB175" s="134"/>
      <c r="GC175" s="134"/>
      <c r="GD175" s="134"/>
      <c r="GE175" s="134"/>
      <c r="GF175" s="134"/>
      <c r="GG175" s="134"/>
      <c r="GH175" s="134"/>
      <c r="GI175" s="134"/>
      <c r="GJ175" s="134"/>
      <c r="GK175" s="134"/>
      <c r="GL175" s="134"/>
      <c r="GM175" s="134"/>
      <c r="GN175" s="134"/>
      <c r="GO175" s="134"/>
      <c r="GP175" s="134"/>
      <c r="GQ175" s="134"/>
      <c r="GR175" s="134"/>
      <c r="GS175" s="134"/>
      <c r="GT175" s="134"/>
      <c r="GU175" s="134"/>
      <c r="GV175" s="134"/>
      <c r="GW175" s="134"/>
      <c r="GX175" s="134"/>
      <c r="GY175" s="134"/>
      <c r="GZ175" s="134"/>
      <c r="HA175" s="134"/>
      <c r="HB175" s="134"/>
      <c r="HC175" s="134"/>
      <c r="HD175" s="134"/>
      <c r="HE175" s="134"/>
      <c r="HF175" s="134"/>
      <c r="HG175" s="134"/>
      <c r="HH175" s="134"/>
      <c r="HI175" s="134"/>
      <c r="HJ175" s="134"/>
      <c r="HK175" s="134"/>
      <c r="HL175" s="134"/>
      <c r="HM175" s="134"/>
      <c r="HN175" s="134"/>
      <c r="HO175" s="134"/>
      <c r="HP175" s="134"/>
      <c r="HQ175" s="134"/>
      <c r="HR175" s="134"/>
      <c r="HS175" s="134"/>
      <c r="HT175" s="134"/>
      <c r="HU175" s="134"/>
      <c r="HV175" s="134"/>
      <c r="HW175" s="134"/>
      <c r="HX175" s="134"/>
      <c r="HY175" s="134"/>
      <c r="HZ175" s="134"/>
      <c r="IA175" s="134"/>
      <c r="IB175" s="134"/>
      <c r="IC175" s="134"/>
      <c r="ID175" s="134"/>
      <c r="IE175" s="134"/>
      <c r="IF175" s="134"/>
      <c r="IG175" s="134"/>
      <c r="IH175" s="134"/>
      <c r="II175" s="134"/>
      <c r="IJ175" s="134"/>
      <c r="IK175" s="134"/>
      <c r="IL175" s="134"/>
      <c r="IM175" s="134"/>
      <c r="IN175" s="134"/>
      <c r="IO175" s="134"/>
      <c r="IP175" s="134"/>
      <c r="IQ175" s="134"/>
      <c r="IR175" s="134"/>
      <c r="IS175" s="134"/>
      <c r="IT175" s="134"/>
      <c r="IU175" s="134"/>
    </row>
    <row r="176" spans="1:255" ht="48" customHeight="1" x14ac:dyDescent="0.2">
      <c r="A176" s="236" t="str">
        <f>'HECVAT - Full'!A176</f>
        <v>DCTR-18</v>
      </c>
      <c r="B176" s="236" t="str">
        <f>VLOOKUP(A176,'HECVAT - Full'!A$24:B$312,2,FALSE)</f>
        <v xml:space="preserve">State how many Internet Service Providers (ISPs) provide connectivity to each datacenter where the institution's data will reside. </v>
      </c>
      <c r="C176" s="237" t="s">
        <v>2866</v>
      </c>
      <c r="D176" s="247" t="s">
        <v>2867</v>
      </c>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c r="CB176" s="134"/>
      <c r="CC176" s="134"/>
      <c r="CD176" s="134"/>
      <c r="CE176" s="134"/>
      <c r="CF176" s="134"/>
      <c r="CG176" s="134"/>
      <c r="CH176" s="134"/>
      <c r="CI176" s="134"/>
      <c r="CJ176" s="134"/>
      <c r="CK176" s="134"/>
      <c r="CL176" s="134"/>
      <c r="CM176" s="134"/>
      <c r="CN176" s="134"/>
      <c r="CO176" s="134"/>
      <c r="CP176" s="134"/>
      <c r="CQ176" s="134"/>
      <c r="CR176" s="134"/>
      <c r="CS176" s="134"/>
      <c r="CT176" s="134"/>
      <c r="CU176" s="134"/>
      <c r="CV176" s="134"/>
      <c r="CW176" s="134"/>
      <c r="CX176" s="134"/>
      <c r="CY176" s="134"/>
      <c r="CZ176" s="134"/>
      <c r="DA176" s="134"/>
      <c r="DB176" s="134"/>
      <c r="DC176" s="134"/>
      <c r="DD176" s="134"/>
      <c r="DE176" s="134"/>
      <c r="DF176" s="134"/>
      <c r="DG176" s="134"/>
      <c r="DH176" s="134"/>
      <c r="DI176" s="134"/>
      <c r="DJ176" s="134"/>
      <c r="DK176" s="134"/>
      <c r="DL176" s="134"/>
      <c r="DM176" s="134"/>
      <c r="DN176" s="134"/>
      <c r="DO176" s="134"/>
      <c r="DP176" s="134"/>
      <c r="DQ176" s="134"/>
      <c r="DR176" s="134"/>
      <c r="DS176" s="134"/>
      <c r="DT176" s="134"/>
      <c r="DU176" s="134"/>
      <c r="DV176" s="134"/>
      <c r="DW176" s="134"/>
      <c r="DX176" s="134"/>
      <c r="DY176" s="134"/>
      <c r="DZ176" s="134"/>
      <c r="EA176" s="134"/>
      <c r="EB176" s="134"/>
      <c r="EC176" s="134"/>
      <c r="ED176" s="134"/>
      <c r="EE176" s="134"/>
      <c r="EF176" s="134"/>
      <c r="EG176" s="134"/>
      <c r="EH176" s="134"/>
      <c r="EI176" s="134"/>
      <c r="EJ176" s="134"/>
      <c r="EK176" s="134"/>
      <c r="EL176" s="134"/>
      <c r="EM176" s="134"/>
      <c r="EN176" s="134"/>
      <c r="EO176" s="134"/>
      <c r="EP176" s="134"/>
      <c r="EQ176" s="134"/>
      <c r="ER176" s="134"/>
      <c r="ES176" s="134"/>
      <c r="ET176" s="134"/>
      <c r="EU176" s="134"/>
      <c r="EV176" s="134"/>
      <c r="EW176" s="134"/>
      <c r="EX176" s="134"/>
      <c r="EY176" s="134"/>
      <c r="EZ176" s="134"/>
      <c r="FA176" s="134"/>
      <c r="FB176" s="134"/>
      <c r="FC176" s="134"/>
      <c r="FD176" s="134"/>
      <c r="FE176" s="134"/>
      <c r="FF176" s="134"/>
      <c r="FG176" s="134"/>
      <c r="FH176" s="134"/>
      <c r="FI176" s="134"/>
      <c r="FJ176" s="134"/>
      <c r="FK176" s="134"/>
      <c r="FL176" s="134"/>
      <c r="FM176" s="134"/>
      <c r="FN176" s="134"/>
      <c r="FO176" s="134"/>
      <c r="FP176" s="134"/>
      <c r="FQ176" s="134"/>
      <c r="FR176" s="134"/>
      <c r="FS176" s="134"/>
      <c r="FT176" s="134"/>
      <c r="FU176" s="134"/>
      <c r="FV176" s="134"/>
      <c r="FW176" s="134"/>
      <c r="FX176" s="134"/>
      <c r="FY176" s="134"/>
      <c r="FZ176" s="134"/>
      <c r="GA176" s="134"/>
      <c r="GB176" s="134"/>
      <c r="GC176" s="134"/>
      <c r="GD176" s="134"/>
      <c r="GE176" s="134"/>
      <c r="GF176" s="134"/>
      <c r="GG176" s="134"/>
      <c r="GH176" s="134"/>
      <c r="GI176" s="134"/>
      <c r="GJ176" s="134"/>
      <c r="GK176" s="134"/>
      <c r="GL176" s="134"/>
      <c r="GM176" s="134"/>
      <c r="GN176" s="134"/>
      <c r="GO176" s="134"/>
      <c r="GP176" s="134"/>
      <c r="GQ176" s="134"/>
      <c r="GR176" s="134"/>
      <c r="GS176" s="134"/>
      <c r="GT176" s="134"/>
      <c r="GU176" s="134"/>
      <c r="GV176" s="134"/>
      <c r="GW176" s="134"/>
      <c r="GX176" s="134"/>
      <c r="GY176" s="134"/>
      <c r="GZ176" s="134"/>
      <c r="HA176" s="134"/>
      <c r="HB176" s="134"/>
      <c r="HC176" s="134"/>
      <c r="HD176" s="134"/>
      <c r="HE176" s="134"/>
      <c r="HF176" s="134"/>
      <c r="HG176" s="134"/>
      <c r="HH176" s="134"/>
      <c r="HI176" s="134"/>
      <c r="HJ176" s="134"/>
      <c r="HK176" s="134"/>
      <c r="HL176" s="134"/>
      <c r="HM176" s="134"/>
      <c r="HN176" s="134"/>
      <c r="HO176" s="134"/>
      <c r="HP176" s="134"/>
      <c r="HQ176" s="134"/>
      <c r="HR176" s="134"/>
      <c r="HS176" s="134"/>
      <c r="HT176" s="134"/>
      <c r="HU176" s="134"/>
      <c r="HV176" s="134"/>
      <c r="HW176" s="134"/>
      <c r="HX176" s="134"/>
      <c r="HY176" s="134"/>
      <c r="HZ176" s="134"/>
      <c r="IA176" s="134"/>
      <c r="IB176" s="134"/>
      <c r="IC176" s="134"/>
      <c r="ID176" s="134"/>
      <c r="IE176" s="134"/>
      <c r="IF176" s="134"/>
      <c r="IG176" s="134"/>
      <c r="IH176" s="134"/>
      <c r="II176" s="134"/>
      <c r="IJ176" s="134"/>
      <c r="IK176" s="134"/>
      <c r="IL176" s="134"/>
      <c r="IM176" s="134"/>
      <c r="IN176" s="134"/>
      <c r="IO176" s="134"/>
      <c r="IP176" s="134"/>
      <c r="IQ176" s="134"/>
      <c r="IR176" s="134"/>
      <c r="IS176" s="134"/>
      <c r="IT176" s="134"/>
      <c r="IU176" s="134"/>
    </row>
    <row r="177" spans="1:255" ht="48" customHeight="1" x14ac:dyDescent="0.2">
      <c r="A177" s="236" t="str">
        <f>'HECVAT - Full'!A177</f>
        <v>DCTR-19</v>
      </c>
      <c r="B177" s="236" t="str">
        <f>VLOOKUP(A177,'HECVAT - Full'!A$24:B$312,2,FALSE)</f>
        <v>Does every datacenter where the Institution's data will reside have multiple telephone company or network provider entrances to the facility?</v>
      </c>
      <c r="C177" s="237" t="s">
        <v>2866</v>
      </c>
      <c r="D177" s="247" t="s">
        <v>2867</v>
      </c>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c r="FW177" s="134"/>
      <c r="FX177" s="134"/>
      <c r="FY177" s="134"/>
      <c r="FZ177" s="134"/>
      <c r="GA177" s="134"/>
      <c r="GB177" s="134"/>
      <c r="GC177" s="134"/>
      <c r="GD177" s="134"/>
      <c r="GE177" s="134"/>
      <c r="GF177" s="134"/>
      <c r="GG177" s="134"/>
      <c r="GH177" s="134"/>
      <c r="GI177" s="134"/>
      <c r="GJ177" s="134"/>
      <c r="GK177" s="134"/>
      <c r="GL177" s="134"/>
      <c r="GM177" s="134"/>
      <c r="GN177" s="134"/>
      <c r="GO177" s="134"/>
      <c r="GP177" s="134"/>
      <c r="GQ177" s="134"/>
      <c r="GR177" s="134"/>
      <c r="GS177" s="134"/>
      <c r="GT177" s="134"/>
      <c r="GU177" s="134"/>
      <c r="GV177" s="134"/>
      <c r="GW177" s="134"/>
      <c r="GX177" s="134"/>
      <c r="GY177" s="134"/>
      <c r="GZ177" s="134"/>
      <c r="HA177" s="134"/>
      <c r="HB177" s="134"/>
      <c r="HC177" s="134"/>
      <c r="HD177" s="134"/>
      <c r="HE177" s="134"/>
      <c r="HF177" s="134"/>
      <c r="HG177" s="134"/>
      <c r="HH177" s="134"/>
      <c r="HI177" s="134"/>
      <c r="HJ177" s="134"/>
      <c r="HK177" s="134"/>
      <c r="HL177" s="134"/>
      <c r="HM177" s="134"/>
      <c r="HN177" s="134"/>
      <c r="HO177" s="134"/>
      <c r="HP177" s="134"/>
      <c r="HQ177" s="134"/>
      <c r="HR177" s="134"/>
      <c r="HS177" s="134"/>
      <c r="HT177" s="134"/>
      <c r="HU177" s="134"/>
      <c r="HV177" s="134"/>
      <c r="HW177" s="134"/>
      <c r="HX177" s="134"/>
      <c r="HY177" s="134"/>
      <c r="HZ177" s="134"/>
      <c r="IA177" s="134"/>
      <c r="IB177" s="134"/>
      <c r="IC177" s="134"/>
      <c r="ID177" s="134"/>
      <c r="IE177" s="134"/>
      <c r="IF177" s="134"/>
      <c r="IG177" s="134"/>
      <c r="IH177" s="134"/>
      <c r="II177" s="134"/>
      <c r="IJ177" s="134"/>
      <c r="IK177" s="134"/>
      <c r="IL177" s="134"/>
      <c r="IM177" s="134"/>
      <c r="IN177" s="134"/>
      <c r="IO177" s="134"/>
      <c r="IP177" s="134"/>
      <c r="IQ177" s="134"/>
      <c r="IR177" s="134"/>
      <c r="IS177" s="134"/>
      <c r="IT177" s="134"/>
      <c r="IU177" s="134"/>
    </row>
    <row r="178" spans="1:255" ht="36" customHeight="1" x14ac:dyDescent="0.2">
      <c r="A178" s="341" t="str">
        <f>IF(OR($C$28="No",$C$30="Yes"),"DRP - Respond to as many questions below as possible.","Disaster Recovery Plan")</f>
        <v>Disaster Recovery Plan</v>
      </c>
      <c r="B178" s="341"/>
      <c r="C178" s="234" t="str">
        <f>$C$22</f>
        <v>Reason for Question</v>
      </c>
      <c r="D178" s="234" t="str">
        <f>$D$22</f>
        <v>Follow-up Inquiries/Responses</v>
      </c>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c r="CB178" s="134"/>
      <c r="CC178" s="134"/>
      <c r="CD178" s="134"/>
      <c r="CE178" s="134"/>
      <c r="CF178" s="134"/>
      <c r="CG178" s="134"/>
      <c r="CH178" s="134"/>
      <c r="CI178" s="134"/>
      <c r="CJ178" s="134"/>
      <c r="CK178" s="134"/>
      <c r="CL178" s="134"/>
      <c r="CM178" s="134"/>
      <c r="CN178" s="134"/>
      <c r="CO178" s="134"/>
      <c r="CP178" s="134"/>
      <c r="CQ178" s="134"/>
      <c r="CR178" s="134"/>
      <c r="CS178" s="134"/>
      <c r="CT178" s="134"/>
      <c r="CU178" s="134"/>
      <c r="CV178" s="134"/>
      <c r="CW178" s="134"/>
      <c r="CX178" s="134"/>
      <c r="CY178" s="134"/>
      <c r="CZ178" s="134"/>
      <c r="DA178" s="134"/>
      <c r="DB178" s="134"/>
      <c r="DC178" s="134"/>
      <c r="DD178" s="134"/>
      <c r="DE178" s="134"/>
      <c r="DF178" s="134"/>
      <c r="DG178" s="134"/>
      <c r="DH178" s="134"/>
      <c r="DI178" s="134"/>
      <c r="DJ178" s="134"/>
      <c r="DK178" s="134"/>
      <c r="DL178" s="134"/>
      <c r="DM178" s="134"/>
      <c r="DN178" s="134"/>
      <c r="DO178" s="134"/>
      <c r="DP178" s="134"/>
      <c r="DQ178" s="134"/>
      <c r="DR178" s="134"/>
      <c r="DS178" s="134"/>
      <c r="DT178" s="134"/>
      <c r="DU178" s="134"/>
      <c r="DV178" s="134"/>
      <c r="DW178" s="134"/>
      <c r="DX178" s="134"/>
      <c r="DY178" s="134"/>
      <c r="DZ178" s="134"/>
      <c r="EA178" s="134"/>
      <c r="EB178" s="134"/>
      <c r="EC178" s="134"/>
      <c r="ED178" s="134"/>
      <c r="EE178" s="134"/>
      <c r="EF178" s="134"/>
      <c r="EG178" s="134"/>
      <c r="EH178" s="134"/>
      <c r="EI178" s="134"/>
      <c r="EJ178" s="134"/>
      <c r="EK178" s="134"/>
      <c r="EL178" s="134"/>
      <c r="EM178" s="134"/>
      <c r="EN178" s="134"/>
      <c r="EO178" s="134"/>
      <c r="EP178" s="134"/>
      <c r="EQ178" s="134"/>
      <c r="ER178" s="134"/>
      <c r="ES178" s="134"/>
      <c r="ET178" s="134"/>
      <c r="EU178" s="134"/>
      <c r="EV178" s="134"/>
      <c r="EW178" s="134"/>
      <c r="EX178" s="134"/>
      <c r="EY178" s="134"/>
      <c r="EZ178" s="134"/>
      <c r="FA178" s="134"/>
      <c r="FB178" s="134"/>
      <c r="FC178" s="134"/>
      <c r="FD178" s="134"/>
      <c r="FE178" s="134"/>
      <c r="FF178" s="134"/>
      <c r="FG178" s="134"/>
      <c r="FH178" s="134"/>
      <c r="FI178" s="134"/>
      <c r="FJ178" s="134"/>
      <c r="FK178" s="134"/>
      <c r="FL178" s="134"/>
      <c r="FM178" s="134"/>
      <c r="FN178" s="134"/>
      <c r="FO178" s="134"/>
      <c r="FP178" s="134"/>
      <c r="FQ178" s="134"/>
      <c r="FR178" s="134"/>
      <c r="FS178" s="134"/>
      <c r="FT178" s="134"/>
      <c r="FU178" s="134"/>
      <c r="FV178" s="134"/>
      <c r="FW178" s="134"/>
      <c r="FX178" s="134"/>
      <c r="FY178" s="134"/>
      <c r="FZ178" s="134"/>
      <c r="GA178" s="134"/>
      <c r="GB178" s="134"/>
      <c r="GC178" s="134"/>
      <c r="GD178" s="134"/>
      <c r="GE178" s="134"/>
      <c r="GF178" s="134"/>
      <c r="GG178" s="134"/>
      <c r="GH178" s="134"/>
      <c r="GI178" s="134"/>
      <c r="GJ178" s="134"/>
      <c r="GK178" s="134"/>
      <c r="GL178" s="134"/>
      <c r="GM178" s="134"/>
      <c r="GN178" s="134"/>
      <c r="GO178" s="134"/>
      <c r="GP178" s="134"/>
      <c r="GQ178" s="134"/>
      <c r="GR178" s="134"/>
      <c r="GS178" s="134"/>
      <c r="GT178" s="134"/>
      <c r="GU178" s="134"/>
      <c r="GV178" s="134"/>
      <c r="GW178" s="134"/>
      <c r="GX178" s="134"/>
      <c r="GY178" s="134"/>
      <c r="GZ178" s="134"/>
      <c r="HA178" s="134"/>
      <c r="HB178" s="134"/>
      <c r="HC178" s="134"/>
      <c r="HD178" s="134"/>
      <c r="HE178" s="134"/>
      <c r="HF178" s="134"/>
      <c r="HG178" s="134"/>
      <c r="HH178" s="134"/>
      <c r="HI178" s="134"/>
      <c r="HJ178" s="134"/>
      <c r="HK178" s="134"/>
      <c r="HL178" s="134"/>
      <c r="HM178" s="134"/>
      <c r="HN178" s="134"/>
      <c r="HO178" s="134"/>
      <c r="HP178" s="134"/>
      <c r="HQ178" s="134"/>
      <c r="HR178" s="134"/>
      <c r="HS178" s="134"/>
      <c r="HT178" s="134"/>
      <c r="HU178" s="134"/>
      <c r="HV178" s="134"/>
      <c r="HW178" s="134"/>
      <c r="HX178" s="134"/>
      <c r="HY178" s="134"/>
      <c r="HZ178" s="134"/>
      <c r="IA178" s="134"/>
      <c r="IB178" s="134"/>
      <c r="IC178" s="134"/>
      <c r="ID178" s="134"/>
      <c r="IE178" s="134"/>
      <c r="IF178" s="134"/>
      <c r="IG178" s="134"/>
      <c r="IH178" s="134"/>
      <c r="II178" s="134"/>
      <c r="IJ178" s="134"/>
      <c r="IK178" s="134"/>
      <c r="IL178" s="134"/>
      <c r="IM178" s="134"/>
      <c r="IN178" s="134"/>
      <c r="IO178" s="134"/>
      <c r="IP178" s="134"/>
      <c r="IQ178" s="134"/>
      <c r="IR178" s="134"/>
      <c r="IS178" s="134"/>
      <c r="IT178" s="134"/>
      <c r="IU178" s="134"/>
    </row>
    <row r="179" spans="1:255" ht="111.75" customHeight="1" x14ac:dyDescent="0.2">
      <c r="A179" s="236" t="str">
        <f>'HECVAT - Full'!A179</f>
        <v>DRPL-01</v>
      </c>
      <c r="B179" s="236" t="str">
        <f>VLOOKUP(A179,'HECVAT - Full'!A$24:B$312,2,FALSE)</f>
        <v>Describe or provide a reference to your Disaster Recovery Plan (DRP).</v>
      </c>
      <c r="C179" s="269" t="s">
        <v>3029</v>
      </c>
      <c r="D179" s="251" t="s">
        <v>2872</v>
      </c>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c r="CB179" s="134"/>
      <c r="CC179" s="134"/>
      <c r="CD179" s="134"/>
      <c r="CE179" s="134"/>
      <c r="CF179" s="134"/>
      <c r="CG179" s="134"/>
      <c r="CH179" s="134"/>
      <c r="CI179" s="134"/>
      <c r="CJ179" s="134"/>
      <c r="CK179" s="134"/>
      <c r="CL179" s="134"/>
      <c r="CM179" s="134"/>
      <c r="CN179" s="134"/>
      <c r="CO179" s="134"/>
      <c r="CP179" s="134"/>
      <c r="CQ179" s="134"/>
      <c r="CR179" s="134"/>
      <c r="CS179" s="134"/>
      <c r="CT179" s="134"/>
      <c r="CU179" s="134"/>
      <c r="CV179" s="134"/>
      <c r="CW179" s="134"/>
      <c r="CX179" s="134"/>
      <c r="CY179" s="134"/>
      <c r="CZ179" s="134"/>
      <c r="DA179" s="134"/>
      <c r="DB179" s="134"/>
      <c r="DC179" s="134"/>
      <c r="DD179" s="134"/>
      <c r="DE179" s="134"/>
      <c r="DF179" s="134"/>
      <c r="DG179" s="134"/>
      <c r="DH179" s="134"/>
      <c r="DI179" s="134"/>
      <c r="DJ179" s="134"/>
      <c r="DK179" s="134"/>
      <c r="DL179" s="134"/>
      <c r="DM179" s="134"/>
      <c r="DN179" s="134"/>
      <c r="DO179" s="134"/>
      <c r="DP179" s="134"/>
      <c r="DQ179" s="134"/>
      <c r="DR179" s="134"/>
      <c r="DS179" s="134"/>
      <c r="DT179" s="134"/>
      <c r="DU179" s="134"/>
      <c r="DV179" s="134"/>
      <c r="DW179" s="134"/>
      <c r="DX179" s="134"/>
      <c r="DY179" s="134"/>
      <c r="DZ179" s="134"/>
      <c r="EA179" s="134"/>
      <c r="EB179" s="134"/>
      <c r="EC179" s="134"/>
      <c r="ED179" s="134"/>
      <c r="EE179" s="134"/>
      <c r="EF179" s="134"/>
      <c r="EG179" s="134"/>
      <c r="EH179" s="134"/>
      <c r="EI179" s="134"/>
      <c r="EJ179" s="134"/>
      <c r="EK179" s="134"/>
      <c r="EL179" s="134"/>
      <c r="EM179" s="134"/>
      <c r="EN179" s="134"/>
      <c r="EO179" s="134"/>
      <c r="EP179" s="134"/>
      <c r="EQ179" s="134"/>
      <c r="ER179" s="134"/>
      <c r="ES179" s="134"/>
      <c r="ET179" s="134"/>
      <c r="EU179" s="134"/>
      <c r="EV179" s="134"/>
      <c r="EW179" s="134"/>
      <c r="EX179" s="134"/>
      <c r="EY179" s="134"/>
      <c r="EZ179" s="134"/>
      <c r="FA179" s="134"/>
      <c r="FB179" s="134"/>
      <c r="FC179" s="134"/>
      <c r="FD179" s="134"/>
      <c r="FE179" s="134"/>
      <c r="FF179" s="134"/>
      <c r="FG179" s="134"/>
      <c r="FH179" s="134"/>
      <c r="FI179" s="134"/>
      <c r="FJ179" s="134"/>
      <c r="FK179" s="134"/>
      <c r="FL179" s="134"/>
      <c r="FM179" s="134"/>
      <c r="FN179" s="134"/>
      <c r="FO179" s="134"/>
      <c r="FP179" s="134"/>
      <c r="FQ179" s="134"/>
      <c r="FR179" s="134"/>
      <c r="FS179" s="134"/>
      <c r="FT179" s="134"/>
      <c r="FU179" s="134"/>
      <c r="FV179" s="134"/>
      <c r="FW179" s="134"/>
      <c r="FX179" s="134"/>
      <c r="FY179" s="134"/>
      <c r="FZ179" s="134"/>
      <c r="GA179" s="134"/>
      <c r="GB179" s="134"/>
      <c r="GC179" s="134"/>
      <c r="GD179" s="134"/>
      <c r="GE179" s="134"/>
      <c r="GF179" s="134"/>
      <c r="GG179" s="134"/>
      <c r="GH179" s="134"/>
      <c r="GI179" s="134"/>
      <c r="GJ179" s="134"/>
      <c r="GK179" s="134"/>
      <c r="GL179" s="134"/>
      <c r="GM179" s="134"/>
      <c r="GN179" s="134"/>
      <c r="GO179" s="134"/>
      <c r="GP179" s="134"/>
      <c r="GQ179" s="134"/>
      <c r="GR179" s="134"/>
      <c r="GS179" s="134"/>
      <c r="GT179" s="134"/>
      <c r="GU179" s="134"/>
      <c r="GV179" s="134"/>
      <c r="GW179" s="134"/>
      <c r="GX179" s="134"/>
      <c r="GY179" s="134"/>
      <c r="GZ179" s="134"/>
      <c r="HA179" s="134"/>
      <c r="HB179" s="134"/>
      <c r="HC179" s="134"/>
      <c r="HD179" s="134"/>
      <c r="HE179" s="134"/>
      <c r="HF179" s="134"/>
      <c r="HG179" s="134"/>
      <c r="HH179" s="134"/>
      <c r="HI179" s="134"/>
      <c r="HJ179" s="134"/>
      <c r="HK179" s="134"/>
      <c r="HL179" s="134"/>
      <c r="HM179" s="134"/>
      <c r="HN179" s="134"/>
      <c r="HO179" s="134"/>
      <c r="HP179" s="134"/>
      <c r="HQ179" s="134"/>
      <c r="HR179" s="134"/>
      <c r="HS179" s="134"/>
      <c r="HT179" s="134"/>
      <c r="HU179" s="134"/>
      <c r="HV179" s="134"/>
      <c r="HW179" s="134"/>
      <c r="HX179" s="134"/>
      <c r="HY179" s="134"/>
      <c r="HZ179" s="134"/>
      <c r="IA179" s="134"/>
      <c r="IB179" s="134"/>
      <c r="IC179" s="134"/>
      <c r="ID179" s="134"/>
      <c r="IE179" s="134"/>
      <c r="IF179" s="134"/>
      <c r="IG179" s="134"/>
      <c r="IH179" s="134"/>
      <c r="II179" s="134"/>
      <c r="IJ179" s="134"/>
      <c r="IK179" s="134"/>
      <c r="IL179" s="134"/>
      <c r="IM179" s="134"/>
      <c r="IN179" s="134"/>
      <c r="IO179" s="134"/>
      <c r="IP179" s="134"/>
      <c r="IQ179" s="134"/>
      <c r="IR179" s="134"/>
      <c r="IS179" s="134"/>
      <c r="IT179" s="134"/>
      <c r="IU179" s="134"/>
    </row>
    <row r="180" spans="1:255" ht="64.5" customHeight="1" x14ac:dyDescent="0.2">
      <c r="A180" s="236" t="str">
        <f>'HECVAT - Full'!A180</f>
        <v>DRPL-02</v>
      </c>
      <c r="B180" s="236" t="str">
        <f>VLOOKUP(A180,'HECVAT - Full'!A$24:B$312,2,FALSE)</f>
        <v>Is an owner assigned who is responsible for the maintenance and review of the DRP?</v>
      </c>
      <c r="C180" s="265" t="s">
        <v>3030</v>
      </c>
      <c r="D180" s="244" t="s">
        <v>2873</v>
      </c>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c r="DP180" s="134"/>
      <c r="DQ180" s="134"/>
      <c r="DR180" s="134"/>
      <c r="DS180" s="134"/>
      <c r="DT180" s="134"/>
      <c r="DU180" s="134"/>
      <c r="DV180" s="134"/>
      <c r="DW180" s="134"/>
      <c r="DX180" s="134"/>
      <c r="DY180" s="134"/>
      <c r="DZ180" s="134"/>
      <c r="EA180" s="134"/>
      <c r="EB180" s="134"/>
      <c r="EC180" s="134"/>
      <c r="ED180" s="134"/>
      <c r="EE180" s="134"/>
      <c r="EF180" s="134"/>
      <c r="EG180" s="134"/>
      <c r="EH180" s="134"/>
      <c r="EI180" s="134"/>
      <c r="EJ180" s="134"/>
      <c r="EK180" s="134"/>
      <c r="EL180" s="134"/>
      <c r="EM180" s="134"/>
      <c r="EN180" s="134"/>
      <c r="EO180" s="134"/>
      <c r="EP180" s="134"/>
      <c r="EQ180" s="134"/>
      <c r="ER180" s="134"/>
      <c r="ES180" s="134"/>
      <c r="ET180" s="134"/>
      <c r="EU180" s="134"/>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4"/>
      <c r="FS180" s="134"/>
      <c r="FT180" s="134"/>
      <c r="FU180" s="134"/>
      <c r="FV180" s="134"/>
      <c r="FW180" s="134"/>
      <c r="FX180" s="134"/>
      <c r="FY180" s="134"/>
      <c r="FZ180" s="134"/>
      <c r="GA180" s="134"/>
      <c r="GB180" s="134"/>
      <c r="GC180" s="134"/>
      <c r="GD180" s="134"/>
      <c r="GE180" s="134"/>
      <c r="GF180" s="134"/>
      <c r="GG180" s="134"/>
      <c r="GH180" s="134"/>
      <c r="GI180" s="134"/>
      <c r="GJ180" s="134"/>
      <c r="GK180" s="134"/>
      <c r="GL180" s="134"/>
      <c r="GM180" s="134"/>
      <c r="GN180" s="134"/>
      <c r="GO180" s="134"/>
      <c r="GP180" s="134"/>
      <c r="GQ180" s="134"/>
      <c r="GR180" s="134"/>
      <c r="GS180" s="134"/>
      <c r="GT180" s="134"/>
      <c r="GU180" s="134"/>
      <c r="GV180" s="134"/>
      <c r="GW180" s="134"/>
      <c r="GX180" s="134"/>
      <c r="GY180" s="134"/>
      <c r="GZ180" s="134"/>
      <c r="HA180" s="134"/>
      <c r="HB180" s="134"/>
      <c r="HC180" s="134"/>
      <c r="HD180" s="134"/>
      <c r="HE180" s="134"/>
      <c r="HF180" s="134"/>
      <c r="HG180" s="134"/>
      <c r="HH180" s="134"/>
      <c r="HI180" s="134"/>
      <c r="HJ180" s="134"/>
      <c r="HK180" s="134"/>
      <c r="HL180" s="134"/>
      <c r="HM180" s="134"/>
      <c r="HN180" s="134"/>
      <c r="HO180" s="134"/>
      <c r="HP180" s="134"/>
      <c r="HQ180" s="134"/>
      <c r="HR180" s="134"/>
      <c r="HS180" s="134"/>
      <c r="HT180" s="134"/>
      <c r="HU180" s="134"/>
      <c r="HV180" s="134"/>
      <c r="HW180" s="134"/>
      <c r="HX180" s="134"/>
      <c r="HY180" s="134"/>
      <c r="HZ180" s="134"/>
      <c r="IA180" s="134"/>
      <c r="IB180" s="134"/>
      <c r="IC180" s="134"/>
      <c r="ID180" s="134"/>
      <c r="IE180" s="134"/>
      <c r="IF180" s="134"/>
      <c r="IG180" s="134"/>
      <c r="IH180" s="134"/>
      <c r="II180" s="134"/>
      <c r="IJ180" s="134"/>
      <c r="IK180" s="134"/>
      <c r="IL180" s="134"/>
      <c r="IM180" s="134"/>
      <c r="IN180" s="134"/>
      <c r="IO180" s="134"/>
      <c r="IP180" s="134"/>
      <c r="IQ180" s="134"/>
      <c r="IR180" s="134"/>
      <c r="IS180" s="134"/>
      <c r="IT180" s="134"/>
      <c r="IU180" s="134"/>
    </row>
    <row r="181" spans="1:255" ht="60" x14ac:dyDescent="0.2">
      <c r="A181" s="236" t="str">
        <f>'HECVAT - Full'!A181</f>
        <v>DRPL-03</v>
      </c>
      <c r="B181" s="236" t="str">
        <f>VLOOKUP(A181,'HECVAT - Full'!A$24:B$312,2,FALSE)</f>
        <v>Can the Institution review your DRP and supporting documentation?</v>
      </c>
      <c r="C181" s="265" t="s">
        <v>3031</v>
      </c>
      <c r="D181" s="247" t="s">
        <v>2874</v>
      </c>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c r="DP181" s="134"/>
      <c r="DQ181" s="134"/>
      <c r="DR181" s="134"/>
      <c r="DS181" s="134"/>
      <c r="DT181" s="134"/>
      <c r="DU181" s="134"/>
      <c r="DV181" s="134"/>
      <c r="DW181" s="134"/>
      <c r="DX181" s="134"/>
      <c r="DY181" s="134"/>
      <c r="DZ181" s="134"/>
      <c r="EA181" s="134"/>
      <c r="EB181" s="134"/>
      <c r="EC181" s="134"/>
      <c r="ED181" s="134"/>
      <c r="EE181" s="134"/>
      <c r="EF181" s="134"/>
      <c r="EG181" s="134"/>
      <c r="EH181" s="134"/>
      <c r="EI181" s="134"/>
      <c r="EJ181" s="134"/>
      <c r="EK181" s="134"/>
      <c r="EL181" s="134"/>
      <c r="EM181" s="134"/>
      <c r="EN181" s="134"/>
      <c r="EO181" s="134"/>
      <c r="EP181" s="134"/>
      <c r="EQ181" s="134"/>
      <c r="ER181" s="134"/>
      <c r="ES181" s="134"/>
      <c r="ET181" s="134"/>
      <c r="EU181" s="134"/>
      <c r="EV181" s="134"/>
      <c r="EW181" s="134"/>
      <c r="EX181" s="134"/>
      <c r="EY181" s="134"/>
      <c r="EZ181" s="134"/>
      <c r="FA181" s="134"/>
      <c r="FB181" s="134"/>
      <c r="FC181" s="134"/>
      <c r="FD181" s="134"/>
      <c r="FE181" s="134"/>
      <c r="FF181" s="134"/>
      <c r="FG181" s="134"/>
      <c r="FH181" s="134"/>
      <c r="FI181" s="134"/>
      <c r="FJ181" s="134"/>
      <c r="FK181" s="134"/>
      <c r="FL181" s="134"/>
      <c r="FM181" s="134"/>
      <c r="FN181" s="134"/>
      <c r="FO181" s="134"/>
      <c r="FP181" s="134"/>
      <c r="FQ181" s="134"/>
      <c r="FR181" s="134"/>
      <c r="FS181" s="134"/>
      <c r="FT181" s="134"/>
      <c r="FU181" s="134"/>
      <c r="FV181" s="134"/>
      <c r="FW181" s="134"/>
      <c r="FX181" s="134"/>
      <c r="FY181" s="134"/>
      <c r="FZ181" s="134"/>
      <c r="GA181" s="134"/>
      <c r="GB181" s="134"/>
      <c r="GC181" s="134"/>
      <c r="GD181" s="134"/>
      <c r="GE181" s="134"/>
      <c r="GF181" s="134"/>
      <c r="GG181" s="134"/>
      <c r="GH181" s="134"/>
      <c r="GI181" s="134"/>
      <c r="GJ181" s="134"/>
      <c r="GK181" s="134"/>
      <c r="GL181" s="134"/>
      <c r="GM181" s="134"/>
      <c r="GN181" s="134"/>
      <c r="GO181" s="134"/>
      <c r="GP181" s="134"/>
      <c r="GQ181" s="134"/>
      <c r="GR181" s="134"/>
      <c r="GS181" s="134"/>
      <c r="GT181" s="134"/>
      <c r="GU181" s="134"/>
      <c r="GV181" s="134"/>
      <c r="GW181" s="134"/>
      <c r="GX181" s="134"/>
      <c r="GY181" s="134"/>
      <c r="GZ181" s="134"/>
      <c r="HA181" s="134"/>
      <c r="HB181" s="134"/>
      <c r="HC181" s="134"/>
      <c r="HD181" s="134"/>
      <c r="HE181" s="134"/>
      <c r="HF181" s="134"/>
      <c r="HG181" s="134"/>
      <c r="HH181" s="134"/>
      <c r="HI181" s="134"/>
      <c r="HJ181" s="134"/>
      <c r="HK181" s="134"/>
      <c r="HL181" s="134"/>
      <c r="HM181" s="134"/>
      <c r="HN181" s="134"/>
      <c r="HO181" s="134"/>
      <c r="HP181" s="134"/>
      <c r="HQ181" s="134"/>
      <c r="HR181" s="134"/>
      <c r="HS181" s="134"/>
      <c r="HT181" s="134"/>
      <c r="HU181" s="134"/>
      <c r="HV181" s="134"/>
      <c r="HW181" s="134"/>
      <c r="HX181" s="134"/>
      <c r="HY181" s="134"/>
      <c r="HZ181" s="134"/>
      <c r="IA181" s="134"/>
      <c r="IB181" s="134"/>
      <c r="IC181" s="134"/>
      <c r="ID181" s="134"/>
      <c r="IE181" s="134"/>
      <c r="IF181" s="134"/>
      <c r="IG181" s="134"/>
      <c r="IH181" s="134"/>
      <c r="II181" s="134"/>
      <c r="IJ181" s="134"/>
      <c r="IK181" s="134"/>
      <c r="IL181" s="134"/>
      <c r="IM181" s="134"/>
      <c r="IN181" s="134"/>
      <c r="IO181" s="134"/>
      <c r="IP181" s="134"/>
      <c r="IQ181" s="134"/>
      <c r="IR181" s="134"/>
      <c r="IS181" s="134"/>
      <c r="IT181" s="134"/>
      <c r="IU181" s="134"/>
    </row>
    <row r="182" spans="1:255" ht="90" x14ac:dyDescent="0.2">
      <c r="A182" s="236" t="str">
        <f>'HECVAT - Full'!A182</f>
        <v>DRPL-04</v>
      </c>
      <c r="B182" s="236" t="str">
        <f>VLOOKUP(A182,'HECVAT - Full'!A$24:B$312,2,FALSE)</f>
        <v>Are any disaster recovery locations outside the Institution's Data Zone?</v>
      </c>
      <c r="C182" s="239" t="s">
        <v>2837</v>
      </c>
      <c r="D182" s="244" t="s">
        <v>2838</v>
      </c>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c r="DP182" s="134"/>
      <c r="DQ182" s="134"/>
      <c r="DR182" s="134"/>
      <c r="DS182" s="134"/>
      <c r="DT182" s="134"/>
      <c r="DU182" s="134"/>
      <c r="DV182" s="134"/>
      <c r="DW182" s="134"/>
      <c r="DX182" s="134"/>
      <c r="DY182" s="134"/>
      <c r="DZ182" s="134"/>
      <c r="EA182" s="134"/>
      <c r="EB182" s="134"/>
      <c r="EC182" s="134"/>
      <c r="ED182" s="134"/>
      <c r="EE182" s="134"/>
      <c r="EF182" s="134"/>
      <c r="EG182" s="134"/>
      <c r="EH182" s="134"/>
      <c r="EI182" s="134"/>
      <c r="EJ182" s="134"/>
      <c r="EK182" s="134"/>
      <c r="EL182" s="134"/>
      <c r="EM182" s="134"/>
      <c r="EN182" s="134"/>
      <c r="EO182" s="134"/>
      <c r="EP182" s="134"/>
      <c r="EQ182" s="134"/>
      <c r="ER182" s="134"/>
      <c r="ES182" s="134"/>
      <c r="ET182" s="134"/>
      <c r="EU182" s="134"/>
      <c r="EV182" s="134"/>
      <c r="EW182" s="134"/>
      <c r="EX182" s="134"/>
      <c r="EY182" s="134"/>
      <c r="EZ182" s="134"/>
      <c r="FA182" s="134"/>
      <c r="FB182" s="134"/>
      <c r="FC182" s="134"/>
      <c r="FD182" s="134"/>
      <c r="FE182" s="134"/>
      <c r="FF182" s="134"/>
      <c r="FG182" s="134"/>
      <c r="FH182" s="134"/>
      <c r="FI182" s="134"/>
      <c r="FJ182" s="134"/>
      <c r="FK182" s="134"/>
      <c r="FL182" s="134"/>
      <c r="FM182" s="134"/>
      <c r="FN182" s="134"/>
      <c r="FO182" s="134"/>
      <c r="FP182" s="134"/>
      <c r="FQ182" s="134"/>
      <c r="FR182" s="134"/>
      <c r="FS182" s="134"/>
      <c r="FT182" s="134"/>
      <c r="FU182" s="134"/>
      <c r="FV182" s="134"/>
      <c r="FW182" s="134"/>
      <c r="FX182" s="134"/>
      <c r="FY182" s="134"/>
      <c r="FZ182" s="134"/>
      <c r="GA182" s="134"/>
      <c r="GB182" s="134"/>
      <c r="GC182" s="134"/>
      <c r="GD182" s="134"/>
      <c r="GE182" s="134"/>
      <c r="GF182" s="134"/>
      <c r="GG182" s="134"/>
      <c r="GH182" s="134"/>
      <c r="GI182" s="134"/>
      <c r="GJ182" s="134"/>
      <c r="GK182" s="134"/>
      <c r="GL182" s="134"/>
      <c r="GM182" s="134"/>
      <c r="GN182" s="134"/>
      <c r="GO182" s="134"/>
      <c r="GP182" s="134"/>
      <c r="GQ182" s="134"/>
      <c r="GR182" s="134"/>
      <c r="GS182" s="134"/>
      <c r="GT182" s="134"/>
      <c r="GU182" s="134"/>
      <c r="GV182" s="134"/>
      <c r="GW182" s="134"/>
      <c r="GX182" s="134"/>
      <c r="GY182" s="134"/>
      <c r="GZ182" s="134"/>
      <c r="HA182" s="134"/>
      <c r="HB182" s="134"/>
      <c r="HC182" s="134"/>
      <c r="HD182" s="134"/>
      <c r="HE182" s="134"/>
      <c r="HF182" s="134"/>
      <c r="HG182" s="134"/>
      <c r="HH182" s="134"/>
      <c r="HI182" s="134"/>
      <c r="HJ182" s="134"/>
      <c r="HK182" s="134"/>
      <c r="HL182" s="134"/>
      <c r="HM182" s="134"/>
      <c r="HN182" s="134"/>
      <c r="HO182" s="134"/>
      <c r="HP182" s="134"/>
      <c r="HQ182" s="134"/>
      <c r="HR182" s="134"/>
      <c r="HS182" s="134"/>
      <c r="HT182" s="134"/>
      <c r="HU182" s="134"/>
      <c r="HV182" s="134"/>
      <c r="HW182" s="134"/>
      <c r="HX182" s="134"/>
      <c r="HY182" s="134"/>
      <c r="HZ182" s="134"/>
      <c r="IA182" s="134"/>
      <c r="IB182" s="134"/>
      <c r="IC182" s="134"/>
      <c r="ID182" s="134"/>
      <c r="IE182" s="134"/>
      <c r="IF182" s="134"/>
      <c r="IG182" s="134"/>
      <c r="IH182" s="134"/>
      <c r="II182" s="134"/>
      <c r="IJ182" s="134"/>
      <c r="IK182" s="134"/>
      <c r="IL182" s="134"/>
      <c r="IM182" s="134"/>
      <c r="IN182" s="134"/>
      <c r="IO182" s="134"/>
      <c r="IP182" s="134"/>
      <c r="IQ182" s="134"/>
      <c r="IR182" s="134"/>
      <c r="IS182" s="134"/>
      <c r="IT182" s="134"/>
      <c r="IU182" s="134"/>
    </row>
    <row r="183" spans="1:255" ht="84.75" customHeight="1" x14ac:dyDescent="0.2">
      <c r="A183" s="236" t="str">
        <f>'HECVAT - Full'!A183</f>
        <v>DRPL-05</v>
      </c>
      <c r="B183" s="236" t="str">
        <f>VLOOKUP(A183,'HECVAT - Full'!A$24:B$312,2,FALSE)</f>
        <v>Does your organization have a disaster recovery site or a contracted Disaster Recovery provider?</v>
      </c>
      <c r="C183" s="237" t="s">
        <v>2875</v>
      </c>
      <c r="D183" s="247" t="s">
        <v>2876</v>
      </c>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c r="DP183" s="134"/>
      <c r="DQ183" s="134"/>
      <c r="DR183" s="134"/>
      <c r="DS183" s="134"/>
      <c r="DT183" s="134"/>
      <c r="DU183" s="134"/>
      <c r="DV183" s="134"/>
      <c r="DW183" s="134"/>
      <c r="DX183" s="134"/>
      <c r="DY183" s="134"/>
      <c r="DZ183" s="134"/>
      <c r="EA183" s="134"/>
      <c r="EB183" s="134"/>
      <c r="EC183" s="134"/>
      <c r="ED183" s="134"/>
      <c r="EE183" s="134"/>
      <c r="EF183" s="134"/>
      <c r="EG183" s="134"/>
      <c r="EH183" s="134"/>
      <c r="EI183" s="134"/>
      <c r="EJ183" s="134"/>
      <c r="EK183" s="134"/>
      <c r="EL183" s="134"/>
      <c r="EM183" s="134"/>
      <c r="EN183" s="134"/>
      <c r="EO183" s="134"/>
      <c r="EP183" s="134"/>
      <c r="EQ183" s="134"/>
      <c r="ER183" s="134"/>
      <c r="ES183" s="134"/>
      <c r="ET183" s="134"/>
      <c r="EU183" s="134"/>
      <c r="EV183" s="134"/>
      <c r="EW183" s="134"/>
      <c r="EX183" s="134"/>
      <c r="EY183" s="134"/>
      <c r="EZ183" s="134"/>
      <c r="FA183" s="134"/>
      <c r="FB183" s="134"/>
      <c r="FC183" s="134"/>
      <c r="FD183" s="134"/>
      <c r="FE183" s="134"/>
      <c r="FF183" s="134"/>
      <c r="FG183" s="134"/>
      <c r="FH183" s="134"/>
      <c r="FI183" s="134"/>
      <c r="FJ183" s="134"/>
      <c r="FK183" s="134"/>
      <c r="FL183" s="134"/>
      <c r="FM183" s="134"/>
      <c r="FN183" s="134"/>
      <c r="FO183" s="134"/>
      <c r="FP183" s="134"/>
      <c r="FQ183" s="134"/>
      <c r="FR183" s="134"/>
      <c r="FS183" s="134"/>
      <c r="FT183" s="134"/>
      <c r="FU183" s="134"/>
      <c r="FV183" s="134"/>
      <c r="FW183" s="134"/>
      <c r="FX183" s="134"/>
      <c r="FY183" s="134"/>
      <c r="FZ183" s="134"/>
      <c r="GA183" s="134"/>
      <c r="GB183" s="134"/>
      <c r="GC183" s="134"/>
      <c r="GD183" s="134"/>
      <c r="GE183" s="134"/>
      <c r="GF183" s="134"/>
      <c r="GG183" s="134"/>
      <c r="GH183" s="134"/>
      <c r="GI183" s="134"/>
      <c r="GJ183" s="134"/>
      <c r="GK183" s="134"/>
      <c r="GL183" s="134"/>
      <c r="GM183" s="134"/>
      <c r="GN183" s="134"/>
      <c r="GO183" s="134"/>
      <c r="GP183" s="134"/>
      <c r="GQ183" s="134"/>
      <c r="GR183" s="134"/>
      <c r="GS183" s="134"/>
      <c r="GT183" s="134"/>
      <c r="GU183" s="134"/>
      <c r="GV183" s="134"/>
      <c r="GW183" s="134"/>
      <c r="GX183" s="134"/>
      <c r="GY183" s="134"/>
      <c r="GZ183" s="134"/>
      <c r="HA183" s="134"/>
      <c r="HB183" s="134"/>
      <c r="HC183" s="134"/>
      <c r="HD183" s="134"/>
      <c r="HE183" s="134"/>
      <c r="HF183" s="134"/>
      <c r="HG183" s="134"/>
      <c r="HH183" s="134"/>
      <c r="HI183" s="134"/>
      <c r="HJ183" s="134"/>
      <c r="HK183" s="134"/>
      <c r="HL183" s="134"/>
      <c r="HM183" s="134"/>
      <c r="HN183" s="134"/>
      <c r="HO183" s="134"/>
      <c r="HP183" s="134"/>
      <c r="HQ183" s="134"/>
      <c r="HR183" s="134"/>
      <c r="HS183" s="134"/>
      <c r="HT183" s="134"/>
      <c r="HU183" s="134"/>
      <c r="HV183" s="134"/>
      <c r="HW183" s="134"/>
      <c r="HX183" s="134"/>
      <c r="HY183" s="134"/>
      <c r="HZ183" s="134"/>
      <c r="IA183" s="134"/>
      <c r="IB183" s="134"/>
      <c r="IC183" s="134"/>
      <c r="ID183" s="134"/>
      <c r="IE183" s="134"/>
      <c r="IF183" s="134"/>
      <c r="IG183" s="134"/>
      <c r="IH183" s="134"/>
      <c r="II183" s="134"/>
      <c r="IJ183" s="134"/>
      <c r="IK183" s="134"/>
      <c r="IL183" s="134"/>
      <c r="IM183" s="134"/>
      <c r="IN183" s="134"/>
      <c r="IO183" s="134"/>
      <c r="IP183" s="134"/>
      <c r="IQ183" s="134"/>
      <c r="IR183" s="134"/>
      <c r="IS183" s="134"/>
      <c r="IT183" s="134"/>
      <c r="IU183" s="134"/>
    </row>
    <row r="184" spans="1:255" ht="75" x14ac:dyDescent="0.2">
      <c r="A184" s="236" t="str">
        <f>'HECVAT - Full'!A184</f>
        <v>DRPL-06</v>
      </c>
      <c r="B184" s="236" t="str">
        <f>VLOOKUP(A184,'HECVAT - Full'!A$24:B$312,2,FALSE)</f>
        <v>Does your organization conduct an annual test of relocating to this site for disaster recovery purposes?</v>
      </c>
      <c r="C184" s="269" t="s">
        <v>3032</v>
      </c>
      <c r="D184" s="251" t="s">
        <v>2877</v>
      </c>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c r="CB184" s="134"/>
      <c r="CC184" s="134"/>
      <c r="CD184" s="134"/>
      <c r="CE184" s="134"/>
      <c r="CF184" s="134"/>
      <c r="CG184" s="134"/>
      <c r="CH184" s="134"/>
      <c r="CI184" s="134"/>
      <c r="CJ184" s="134"/>
      <c r="CK184" s="134"/>
      <c r="CL184" s="134"/>
      <c r="CM184" s="134"/>
      <c r="CN184" s="134"/>
      <c r="CO184" s="134"/>
      <c r="CP184" s="134"/>
      <c r="CQ184" s="134"/>
      <c r="CR184" s="134"/>
      <c r="CS184" s="134"/>
      <c r="CT184" s="134"/>
      <c r="CU184" s="134"/>
      <c r="CV184" s="134"/>
      <c r="CW184" s="134"/>
      <c r="CX184" s="134"/>
      <c r="CY184" s="134"/>
      <c r="CZ184" s="134"/>
      <c r="DA184" s="134"/>
      <c r="DB184" s="134"/>
      <c r="DC184" s="134"/>
      <c r="DD184" s="134"/>
      <c r="DE184" s="134"/>
      <c r="DF184" s="134"/>
      <c r="DG184" s="134"/>
      <c r="DH184" s="134"/>
      <c r="DI184" s="134"/>
      <c r="DJ184" s="134"/>
      <c r="DK184" s="134"/>
      <c r="DL184" s="134"/>
      <c r="DM184" s="134"/>
      <c r="DN184" s="134"/>
      <c r="DO184" s="134"/>
      <c r="DP184" s="134"/>
      <c r="DQ184" s="134"/>
      <c r="DR184" s="134"/>
      <c r="DS184" s="134"/>
      <c r="DT184" s="134"/>
      <c r="DU184" s="134"/>
      <c r="DV184" s="134"/>
      <c r="DW184" s="134"/>
      <c r="DX184" s="134"/>
      <c r="DY184" s="134"/>
      <c r="DZ184" s="134"/>
      <c r="EA184" s="134"/>
      <c r="EB184" s="134"/>
      <c r="EC184" s="134"/>
      <c r="ED184" s="134"/>
      <c r="EE184" s="134"/>
      <c r="EF184" s="134"/>
      <c r="EG184" s="134"/>
      <c r="EH184" s="134"/>
      <c r="EI184" s="134"/>
      <c r="EJ184" s="134"/>
      <c r="EK184" s="134"/>
      <c r="EL184" s="134"/>
      <c r="EM184" s="134"/>
      <c r="EN184" s="134"/>
      <c r="EO184" s="134"/>
      <c r="EP184" s="134"/>
      <c r="EQ184" s="134"/>
      <c r="ER184" s="134"/>
      <c r="ES184" s="134"/>
      <c r="ET184" s="134"/>
      <c r="EU184" s="134"/>
      <c r="EV184" s="134"/>
      <c r="EW184" s="134"/>
      <c r="EX184" s="134"/>
      <c r="EY184" s="134"/>
      <c r="EZ184" s="134"/>
      <c r="FA184" s="134"/>
      <c r="FB184" s="134"/>
      <c r="FC184" s="134"/>
      <c r="FD184" s="134"/>
      <c r="FE184" s="134"/>
      <c r="FF184" s="134"/>
      <c r="FG184" s="134"/>
      <c r="FH184" s="134"/>
      <c r="FI184" s="134"/>
      <c r="FJ184" s="134"/>
      <c r="FK184" s="134"/>
      <c r="FL184" s="134"/>
      <c r="FM184" s="134"/>
      <c r="FN184" s="134"/>
      <c r="FO184" s="134"/>
      <c r="FP184" s="134"/>
      <c r="FQ184" s="134"/>
      <c r="FR184" s="134"/>
      <c r="FS184" s="134"/>
      <c r="FT184" s="134"/>
      <c r="FU184" s="134"/>
      <c r="FV184" s="134"/>
      <c r="FW184" s="134"/>
      <c r="FX184" s="134"/>
      <c r="FY184" s="134"/>
      <c r="FZ184" s="134"/>
      <c r="GA184" s="134"/>
      <c r="GB184" s="134"/>
      <c r="GC184" s="134"/>
      <c r="GD184" s="134"/>
      <c r="GE184" s="134"/>
      <c r="GF184" s="134"/>
      <c r="GG184" s="134"/>
      <c r="GH184" s="134"/>
      <c r="GI184" s="134"/>
      <c r="GJ184" s="134"/>
      <c r="GK184" s="134"/>
      <c r="GL184" s="134"/>
      <c r="GM184" s="134"/>
      <c r="GN184" s="134"/>
      <c r="GO184" s="134"/>
      <c r="GP184" s="134"/>
      <c r="GQ184" s="134"/>
      <c r="GR184" s="134"/>
      <c r="GS184" s="134"/>
      <c r="GT184" s="134"/>
      <c r="GU184" s="134"/>
      <c r="GV184" s="134"/>
      <c r="GW184" s="134"/>
      <c r="GX184" s="134"/>
      <c r="GY184" s="134"/>
      <c r="GZ184" s="134"/>
      <c r="HA184" s="134"/>
      <c r="HB184" s="134"/>
      <c r="HC184" s="134"/>
      <c r="HD184" s="134"/>
      <c r="HE184" s="134"/>
      <c r="HF184" s="134"/>
      <c r="HG184" s="134"/>
      <c r="HH184" s="134"/>
      <c r="HI184" s="134"/>
      <c r="HJ184" s="134"/>
      <c r="HK184" s="134"/>
      <c r="HL184" s="134"/>
      <c r="HM184" s="134"/>
      <c r="HN184" s="134"/>
      <c r="HO184" s="134"/>
      <c r="HP184" s="134"/>
      <c r="HQ184" s="134"/>
      <c r="HR184" s="134"/>
      <c r="HS184" s="134"/>
      <c r="HT184" s="134"/>
      <c r="HU184" s="134"/>
      <c r="HV184" s="134"/>
      <c r="HW184" s="134"/>
      <c r="HX184" s="134"/>
      <c r="HY184" s="134"/>
      <c r="HZ184" s="134"/>
      <c r="IA184" s="134"/>
      <c r="IB184" s="134"/>
      <c r="IC184" s="134"/>
      <c r="ID184" s="134"/>
      <c r="IE184" s="134"/>
      <c r="IF184" s="134"/>
      <c r="IG184" s="134"/>
      <c r="IH184" s="134"/>
      <c r="II184" s="134"/>
      <c r="IJ184" s="134"/>
      <c r="IK184" s="134"/>
      <c r="IL184" s="134"/>
      <c r="IM184" s="134"/>
      <c r="IN184" s="134"/>
      <c r="IO184" s="134"/>
      <c r="IP184" s="134"/>
      <c r="IQ184" s="134"/>
      <c r="IR184" s="134"/>
      <c r="IS184" s="134"/>
      <c r="IT184" s="134"/>
      <c r="IU184" s="134"/>
    </row>
    <row r="185" spans="1:255" ht="60" x14ac:dyDescent="0.2">
      <c r="A185" s="236" t="str">
        <f>'HECVAT - Full'!A185</f>
        <v>DRPL-07</v>
      </c>
      <c r="B185" s="236" t="str">
        <f>VLOOKUP(A185,'HECVAT - Full'!A$24:B$312,2,FALSE)</f>
        <v>Is there a defined problem/issue escalation plan in your DRP for impacted clients?</v>
      </c>
      <c r="C185" s="239" t="s">
        <v>2773</v>
      </c>
      <c r="D185" s="243" t="s">
        <v>2774</v>
      </c>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c r="CZ185" s="134"/>
      <c r="DA185" s="134"/>
      <c r="DB185" s="134"/>
      <c r="DC185" s="134"/>
      <c r="DD185" s="134"/>
      <c r="DE185" s="134"/>
      <c r="DF185" s="134"/>
      <c r="DG185" s="134"/>
      <c r="DH185" s="134"/>
      <c r="DI185" s="134"/>
      <c r="DJ185" s="134"/>
      <c r="DK185" s="134"/>
      <c r="DL185" s="134"/>
      <c r="DM185" s="134"/>
      <c r="DN185" s="134"/>
      <c r="DO185" s="134"/>
      <c r="DP185" s="134"/>
      <c r="DQ185" s="134"/>
      <c r="DR185" s="134"/>
      <c r="DS185" s="134"/>
      <c r="DT185" s="134"/>
      <c r="DU185" s="134"/>
      <c r="DV185" s="134"/>
      <c r="DW185" s="134"/>
      <c r="DX185" s="134"/>
      <c r="DY185" s="134"/>
      <c r="DZ185" s="134"/>
      <c r="EA185" s="134"/>
      <c r="EB185" s="134"/>
      <c r="EC185" s="134"/>
      <c r="ED185" s="134"/>
      <c r="EE185" s="134"/>
      <c r="EF185" s="134"/>
      <c r="EG185" s="134"/>
      <c r="EH185" s="134"/>
      <c r="EI185" s="134"/>
      <c r="EJ185" s="134"/>
      <c r="EK185" s="134"/>
      <c r="EL185" s="134"/>
      <c r="EM185" s="134"/>
      <c r="EN185" s="134"/>
      <c r="EO185" s="134"/>
      <c r="EP185" s="134"/>
      <c r="EQ185" s="134"/>
      <c r="ER185" s="134"/>
      <c r="ES185" s="134"/>
      <c r="ET185" s="134"/>
      <c r="EU185" s="134"/>
      <c r="EV185" s="134"/>
      <c r="EW185" s="134"/>
      <c r="EX185" s="134"/>
      <c r="EY185" s="134"/>
      <c r="EZ185" s="134"/>
      <c r="FA185" s="134"/>
      <c r="FB185" s="134"/>
      <c r="FC185" s="134"/>
      <c r="FD185" s="134"/>
      <c r="FE185" s="134"/>
      <c r="FF185" s="134"/>
      <c r="FG185" s="134"/>
      <c r="FH185" s="134"/>
      <c r="FI185" s="134"/>
      <c r="FJ185" s="134"/>
      <c r="FK185" s="134"/>
      <c r="FL185" s="134"/>
      <c r="FM185" s="134"/>
      <c r="FN185" s="134"/>
      <c r="FO185" s="134"/>
      <c r="FP185" s="134"/>
      <c r="FQ185" s="134"/>
      <c r="FR185" s="134"/>
      <c r="FS185" s="134"/>
      <c r="FT185" s="134"/>
      <c r="FU185" s="134"/>
      <c r="FV185" s="134"/>
      <c r="FW185" s="134"/>
      <c r="FX185" s="134"/>
      <c r="FY185" s="134"/>
      <c r="FZ185" s="134"/>
      <c r="GA185" s="134"/>
      <c r="GB185" s="134"/>
      <c r="GC185" s="134"/>
      <c r="GD185" s="134"/>
      <c r="GE185" s="134"/>
      <c r="GF185" s="134"/>
      <c r="GG185" s="134"/>
      <c r="GH185" s="134"/>
      <c r="GI185" s="134"/>
      <c r="GJ185" s="134"/>
      <c r="GK185" s="134"/>
      <c r="GL185" s="134"/>
      <c r="GM185" s="134"/>
      <c r="GN185" s="134"/>
      <c r="GO185" s="134"/>
      <c r="GP185" s="134"/>
      <c r="GQ185" s="134"/>
      <c r="GR185" s="134"/>
      <c r="GS185" s="134"/>
      <c r="GT185" s="134"/>
      <c r="GU185" s="134"/>
      <c r="GV185" s="134"/>
      <c r="GW185" s="134"/>
      <c r="GX185" s="134"/>
      <c r="GY185" s="134"/>
      <c r="GZ185" s="134"/>
      <c r="HA185" s="134"/>
      <c r="HB185" s="134"/>
      <c r="HC185" s="134"/>
      <c r="HD185" s="134"/>
      <c r="HE185" s="134"/>
      <c r="HF185" s="134"/>
      <c r="HG185" s="134"/>
      <c r="HH185" s="134"/>
      <c r="HI185" s="134"/>
      <c r="HJ185" s="134"/>
      <c r="HK185" s="134"/>
      <c r="HL185" s="134"/>
      <c r="HM185" s="134"/>
      <c r="HN185" s="134"/>
      <c r="HO185" s="134"/>
      <c r="HP185" s="134"/>
      <c r="HQ185" s="134"/>
      <c r="HR185" s="134"/>
      <c r="HS185" s="134"/>
      <c r="HT185" s="134"/>
      <c r="HU185" s="134"/>
      <c r="HV185" s="134"/>
      <c r="HW185" s="134"/>
      <c r="HX185" s="134"/>
      <c r="HY185" s="134"/>
      <c r="HZ185" s="134"/>
      <c r="IA185" s="134"/>
      <c r="IB185" s="134"/>
      <c r="IC185" s="134"/>
      <c r="ID185" s="134"/>
      <c r="IE185" s="134"/>
      <c r="IF185" s="134"/>
      <c r="IG185" s="134"/>
      <c r="IH185" s="134"/>
      <c r="II185" s="134"/>
      <c r="IJ185" s="134"/>
      <c r="IK185" s="134"/>
      <c r="IL185" s="134"/>
      <c r="IM185" s="134"/>
      <c r="IN185" s="134"/>
      <c r="IO185" s="134"/>
      <c r="IP185" s="134"/>
      <c r="IQ185" s="134"/>
      <c r="IR185" s="134"/>
      <c r="IS185" s="134"/>
      <c r="IT185" s="134"/>
      <c r="IU185" s="134"/>
    </row>
    <row r="186" spans="1:255" ht="60" x14ac:dyDescent="0.2">
      <c r="A186" s="236" t="str">
        <f>'HECVAT - Full'!A186</f>
        <v>DRPL-08</v>
      </c>
      <c r="B186" s="236" t="str">
        <f>VLOOKUP(A186,'HECVAT - Full'!A$24:B$312,2,FALSE)</f>
        <v>Is there a documented communication plan in your DRP for impacted clients?</v>
      </c>
      <c r="C186" s="239" t="s">
        <v>2773</v>
      </c>
      <c r="D186" s="243" t="s">
        <v>2774</v>
      </c>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c r="CZ186" s="134"/>
      <c r="DA186" s="134"/>
      <c r="DB186" s="134"/>
      <c r="DC186" s="134"/>
      <c r="DD186" s="134"/>
      <c r="DE186" s="134"/>
      <c r="DF186" s="134"/>
      <c r="DG186" s="134"/>
      <c r="DH186" s="134"/>
      <c r="DI186" s="134"/>
      <c r="DJ186" s="134"/>
      <c r="DK186" s="134"/>
      <c r="DL186" s="134"/>
      <c r="DM186" s="134"/>
      <c r="DN186" s="134"/>
      <c r="DO186" s="134"/>
      <c r="DP186" s="134"/>
      <c r="DQ186" s="134"/>
      <c r="DR186" s="134"/>
      <c r="DS186" s="134"/>
      <c r="DT186" s="134"/>
      <c r="DU186" s="134"/>
      <c r="DV186" s="134"/>
      <c r="DW186" s="134"/>
      <c r="DX186" s="134"/>
      <c r="DY186" s="134"/>
      <c r="DZ186" s="134"/>
      <c r="EA186" s="134"/>
      <c r="EB186" s="134"/>
      <c r="EC186" s="134"/>
      <c r="ED186" s="134"/>
      <c r="EE186" s="134"/>
      <c r="EF186" s="134"/>
      <c r="EG186" s="134"/>
      <c r="EH186" s="134"/>
      <c r="EI186" s="134"/>
      <c r="EJ186" s="134"/>
      <c r="EK186" s="134"/>
      <c r="EL186" s="134"/>
      <c r="EM186" s="134"/>
      <c r="EN186" s="134"/>
      <c r="EO186" s="134"/>
      <c r="EP186" s="134"/>
      <c r="EQ186" s="134"/>
      <c r="ER186" s="134"/>
      <c r="ES186" s="134"/>
      <c r="ET186" s="134"/>
      <c r="EU186" s="134"/>
      <c r="EV186" s="134"/>
      <c r="EW186" s="134"/>
      <c r="EX186" s="134"/>
      <c r="EY186" s="134"/>
      <c r="EZ186" s="134"/>
      <c r="FA186" s="134"/>
      <c r="FB186" s="134"/>
      <c r="FC186" s="134"/>
      <c r="FD186" s="134"/>
      <c r="FE186" s="134"/>
      <c r="FF186" s="134"/>
      <c r="FG186" s="134"/>
      <c r="FH186" s="134"/>
      <c r="FI186" s="134"/>
      <c r="FJ186" s="134"/>
      <c r="FK186" s="134"/>
      <c r="FL186" s="134"/>
      <c r="FM186" s="134"/>
      <c r="FN186" s="134"/>
      <c r="FO186" s="134"/>
      <c r="FP186" s="134"/>
      <c r="FQ186" s="134"/>
      <c r="FR186" s="134"/>
      <c r="FS186" s="134"/>
      <c r="FT186" s="134"/>
      <c r="FU186" s="134"/>
      <c r="FV186" s="134"/>
      <c r="FW186" s="134"/>
      <c r="FX186" s="134"/>
      <c r="FY186" s="134"/>
      <c r="FZ186" s="134"/>
      <c r="GA186" s="134"/>
      <c r="GB186" s="134"/>
      <c r="GC186" s="134"/>
      <c r="GD186" s="134"/>
      <c r="GE186" s="134"/>
      <c r="GF186" s="134"/>
      <c r="GG186" s="134"/>
      <c r="GH186" s="134"/>
      <c r="GI186" s="134"/>
      <c r="GJ186" s="134"/>
      <c r="GK186" s="134"/>
      <c r="GL186" s="134"/>
      <c r="GM186" s="134"/>
      <c r="GN186" s="134"/>
      <c r="GO186" s="134"/>
      <c r="GP186" s="134"/>
      <c r="GQ186" s="134"/>
      <c r="GR186" s="134"/>
      <c r="GS186" s="134"/>
      <c r="GT186" s="134"/>
      <c r="GU186" s="134"/>
      <c r="GV186" s="134"/>
      <c r="GW186" s="134"/>
      <c r="GX186" s="134"/>
      <c r="GY186" s="134"/>
      <c r="GZ186" s="134"/>
      <c r="HA186" s="134"/>
      <c r="HB186" s="134"/>
      <c r="HC186" s="134"/>
      <c r="HD186" s="134"/>
      <c r="HE186" s="134"/>
      <c r="HF186" s="134"/>
      <c r="HG186" s="134"/>
      <c r="HH186" s="134"/>
      <c r="HI186" s="134"/>
      <c r="HJ186" s="134"/>
      <c r="HK186" s="134"/>
      <c r="HL186" s="134"/>
      <c r="HM186" s="134"/>
      <c r="HN186" s="134"/>
      <c r="HO186" s="134"/>
      <c r="HP186" s="134"/>
      <c r="HQ186" s="134"/>
      <c r="HR186" s="134"/>
      <c r="HS186" s="134"/>
      <c r="HT186" s="134"/>
      <c r="HU186" s="134"/>
      <c r="HV186" s="134"/>
      <c r="HW186" s="134"/>
      <c r="HX186" s="134"/>
      <c r="HY186" s="134"/>
      <c r="HZ186" s="134"/>
      <c r="IA186" s="134"/>
      <c r="IB186" s="134"/>
      <c r="IC186" s="134"/>
      <c r="ID186" s="134"/>
      <c r="IE186" s="134"/>
      <c r="IF186" s="134"/>
      <c r="IG186" s="134"/>
      <c r="IH186" s="134"/>
      <c r="II186" s="134"/>
      <c r="IJ186" s="134"/>
      <c r="IK186" s="134"/>
      <c r="IL186" s="134"/>
      <c r="IM186" s="134"/>
      <c r="IN186" s="134"/>
      <c r="IO186" s="134"/>
      <c r="IP186" s="134"/>
      <c r="IQ186" s="134"/>
      <c r="IR186" s="134"/>
      <c r="IS186" s="134"/>
      <c r="IT186" s="134"/>
      <c r="IU186" s="134"/>
    </row>
    <row r="187" spans="1:255" ht="83.25" customHeight="1" x14ac:dyDescent="0.2">
      <c r="A187" s="236" t="str">
        <f>'HECVAT - Full'!A187</f>
        <v>DRPL-09</v>
      </c>
      <c r="B187" s="236" t="str">
        <f>VLOOKUP(A187,'HECVAT - Full'!A$24:B$312,2,FALSE)</f>
        <v>Describe or provide a reference to how your disaster recovery plan is tested? (i.e. scope of DR tests, end-to-end testing, etc.)</v>
      </c>
      <c r="C187" s="269" t="s">
        <v>3033</v>
      </c>
      <c r="D187" s="251" t="s">
        <v>2877</v>
      </c>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c r="CB187" s="134"/>
      <c r="CC187" s="134"/>
      <c r="CD187" s="134"/>
      <c r="CE187" s="134"/>
      <c r="CF187" s="134"/>
      <c r="CG187" s="134"/>
      <c r="CH187" s="134"/>
      <c r="CI187" s="134"/>
      <c r="CJ187" s="134"/>
      <c r="CK187" s="134"/>
      <c r="CL187" s="134"/>
      <c r="CM187" s="134"/>
      <c r="CN187" s="134"/>
      <c r="CO187" s="134"/>
      <c r="CP187" s="134"/>
      <c r="CQ187" s="134"/>
      <c r="CR187" s="134"/>
      <c r="CS187" s="134"/>
      <c r="CT187" s="134"/>
      <c r="CU187" s="134"/>
      <c r="CV187" s="134"/>
      <c r="CW187" s="134"/>
      <c r="CX187" s="134"/>
      <c r="CY187" s="134"/>
      <c r="CZ187" s="134"/>
      <c r="DA187" s="134"/>
      <c r="DB187" s="134"/>
      <c r="DC187" s="134"/>
      <c r="DD187" s="134"/>
      <c r="DE187" s="134"/>
      <c r="DF187" s="134"/>
      <c r="DG187" s="134"/>
      <c r="DH187" s="134"/>
      <c r="DI187" s="134"/>
      <c r="DJ187" s="134"/>
      <c r="DK187" s="134"/>
      <c r="DL187" s="134"/>
      <c r="DM187" s="134"/>
      <c r="DN187" s="134"/>
      <c r="DO187" s="134"/>
      <c r="DP187" s="134"/>
      <c r="DQ187" s="134"/>
      <c r="DR187" s="134"/>
      <c r="DS187" s="134"/>
      <c r="DT187" s="134"/>
      <c r="DU187" s="134"/>
      <c r="DV187" s="134"/>
      <c r="DW187" s="134"/>
      <c r="DX187" s="134"/>
      <c r="DY187" s="134"/>
      <c r="DZ187" s="134"/>
      <c r="EA187" s="134"/>
      <c r="EB187" s="134"/>
      <c r="EC187" s="134"/>
      <c r="ED187" s="134"/>
      <c r="EE187" s="134"/>
      <c r="EF187" s="134"/>
      <c r="EG187" s="134"/>
      <c r="EH187" s="134"/>
      <c r="EI187" s="134"/>
      <c r="EJ187" s="134"/>
      <c r="EK187" s="134"/>
      <c r="EL187" s="134"/>
      <c r="EM187" s="134"/>
      <c r="EN187" s="134"/>
      <c r="EO187" s="134"/>
      <c r="EP187" s="134"/>
      <c r="EQ187" s="134"/>
      <c r="ER187" s="134"/>
      <c r="ES187" s="134"/>
      <c r="ET187" s="134"/>
      <c r="EU187" s="134"/>
      <c r="EV187" s="134"/>
      <c r="EW187" s="134"/>
      <c r="EX187" s="134"/>
      <c r="EY187" s="134"/>
      <c r="EZ187" s="134"/>
      <c r="FA187" s="134"/>
      <c r="FB187" s="134"/>
      <c r="FC187" s="134"/>
      <c r="FD187" s="134"/>
      <c r="FE187" s="134"/>
      <c r="FF187" s="134"/>
      <c r="FG187" s="134"/>
      <c r="FH187" s="134"/>
      <c r="FI187" s="134"/>
      <c r="FJ187" s="134"/>
      <c r="FK187" s="134"/>
      <c r="FL187" s="134"/>
      <c r="FM187" s="134"/>
      <c r="FN187" s="134"/>
      <c r="FO187" s="134"/>
      <c r="FP187" s="134"/>
      <c r="FQ187" s="134"/>
      <c r="FR187" s="134"/>
      <c r="FS187" s="134"/>
      <c r="FT187" s="134"/>
      <c r="FU187" s="134"/>
      <c r="FV187" s="134"/>
      <c r="FW187" s="134"/>
      <c r="FX187" s="134"/>
      <c r="FY187" s="134"/>
      <c r="FZ187" s="134"/>
      <c r="GA187" s="134"/>
      <c r="GB187" s="134"/>
      <c r="GC187" s="134"/>
      <c r="GD187" s="134"/>
      <c r="GE187" s="134"/>
      <c r="GF187" s="134"/>
      <c r="GG187" s="134"/>
      <c r="GH187" s="134"/>
      <c r="GI187" s="134"/>
      <c r="GJ187" s="134"/>
      <c r="GK187" s="134"/>
      <c r="GL187" s="134"/>
      <c r="GM187" s="134"/>
      <c r="GN187" s="134"/>
      <c r="GO187" s="134"/>
      <c r="GP187" s="134"/>
      <c r="GQ187" s="134"/>
      <c r="GR187" s="134"/>
      <c r="GS187" s="134"/>
      <c r="GT187" s="134"/>
      <c r="GU187" s="134"/>
      <c r="GV187" s="134"/>
      <c r="GW187" s="134"/>
      <c r="GX187" s="134"/>
      <c r="GY187" s="134"/>
      <c r="GZ187" s="134"/>
      <c r="HA187" s="134"/>
      <c r="HB187" s="134"/>
      <c r="HC187" s="134"/>
      <c r="HD187" s="134"/>
      <c r="HE187" s="134"/>
      <c r="HF187" s="134"/>
      <c r="HG187" s="134"/>
      <c r="HH187" s="134"/>
      <c r="HI187" s="134"/>
      <c r="HJ187" s="134"/>
      <c r="HK187" s="134"/>
      <c r="HL187" s="134"/>
      <c r="HM187" s="134"/>
      <c r="HN187" s="134"/>
      <c r="HO187" s="134"/>
      <c r="HP187" s="134"/>
      <c r="HQ187" s="134"/>
      <c r="HR187" s="134"/>
      <c r="HS187" s="134"/>
      <c r="HT187" s="134"/>
      <c r="HU187" s="134"/>
      <c r="HV187" s="134"/>
      <c r="HW187" s="134"/>
      <c r="HX187" s="134"/>
      <c r="HY187" s="134"/>
      <c r="HZ187" s="134"/>
      <c r="IA187" s="134"/>
      <c r="IB187" s="134"/>
      <c r="IC187" s="134"/>
      <c r="ID187" s="134"/>
      <c r="IE187" s="134"/>
      <c r="IF187" s="134"/>
      <c r="IG187" s="134"/>
      <c r="IH187" s="134"/>
      <c r="II187" s="134"/>
      <c r="IJ187" s="134"/>
      <c r="IK187" s="134"/>
      <c r="IL187" s="134"/>
      <c r="IM187" s="134"/>
      <c r="IN187" s="134"/>
      <c r="IO187" s="134"/>
      <c r="IP187" s="134"/>
      <c r="IQ187" s="134"/>
      <c r="IR187" s="134"/>
      <c r="IS187" s="134"/>
      <c r="IT187" s="134"/>
      <c r="IU187" s="134"/>
    </row>
    <row r="188" spans="1:255" ht="83.25" customHeight="1" x14ac:dyDescent="0.2">
      <c r="A188" s="236" t="str">
        <f>'HECVAT - Full'!A188</f>
        <v>DRPL-10</v>
      </c>
      <c r="B188" s="236" t="str">
        <f>VLOOKUP(A188,'HECVAT - Full'!A$24:B$312,2,FALSE)</f>
        <v>Has the Disaster Recovery Plan been tested in the last year?  Please provide a summary of the results in Additional Information (including actual recovery time).</v>
      </c>
      <c r="C188" s="269" t="s">
        <v>3032</v>
      </c>
      <c r="D188" s="251" t="s">
        <v>2877</v>
      </c>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c r="CB188" s="134"/>
      <c r="CC188" s="134"/>
      <c r="CD188" s="134"/>
      <c r="CE188" s="134"/>
      <c r="CF188" s="134"/>
      <c r="CG188" s="134"/>
      <c r="CH188" s="134"/>
      <c r="CI188" s="134"/>
      <c r="CJ188" s="134"/>
      <c r="CK188" s="134"/>
      <c r="CL188" s="134"/>
      <c r="CM188" s="134"/>
      <c r="CN188" s="134"/>
      <c r="CO188" s="134"/>
      <c r="CP188" s="134"/>
      <c r="CQ188" s="134"/>
      <c r="CR188" s="134"/>
      <c r="CS188" s="134"/>
      <c r="CT188" s="134"/>
      <c r="CU188" s="134"/>
      <c r="CV188" s="134"/>
      <c r="CW188" s="134"/>
      <c r="CX188" s="134"/>
      <c r="CY188" s="134"/>
      <c r="CZ188" s="134"/>
      <c r="DA188" s="134"/>
      <c r="DB188" s="134"/>
      <c r="DC188" s="134"/>
      <c r="DD188" s="134"/>
      <c r="DE188" s="134"/>
      <c r="DF188" s="134"/>
      <c r="DG188" s="134"/>
      <c r="DH188" s="134"/>
      <c r="DI188" s="134"/>
      <c r="DJ188" s="134"/>
      <c r="DK188" s="134"/>
      <c r="DL188" s="134"/>
      <c r="DM188" s="134"/>
      <c r="DN188" s="134"/>
      <c r="DO188" s="134"/>
      <c r="DP188" s="134"/>
      <c r="DQ188" s="134"/>
      <c r="DR188" s="134"/>
      <c r="DS188" s="134"/>
      <c r="DT188" s="134"/>
      <c r="DU188" s="134"/>
      <c r="DV188" s="134"/>
      <c r="DW188" s="134"/>
      <c r="DX188" s="134"/>
      <c r="DY188" s="134"/>
      <c r="DZ188" s="134"/>
      <c r="EA188" s="134"/>
      <c r="EB188" s="134"/>
      <c r="EC188" s="134"/>
      <c r="ED188" s="134"/>
      <c r="EE188" s="134"/>
      <c r="EF188" s="134"/>
      <c r="EG188" s="134"/>
      <c r="EH188" s="134"/>
      <c r="EI188" s="134"/>
      <c r="EJ188" s="134"/>
      <c r="EK188" s="134"/>
      <c r="EL188" s="134"/>
      <c r="EM188" s="134"/>
      <c r="EN188" s="134"/>
      <c r="EO188" s="134"/>
      <c r="EP188" s="134"/>
      <c r="EQ188" s="134"/>
      <c r="ER188" s="134"/>
      <c r="ES188" s="134"/>
      <c r="ET188" s="134"/>
      <c r="EU188" s="134"/>
      <c r="EV188" s="134"/>
      <c r="EW188" s="134"/>
      <c r="EX188" s="134"/>
      <c r="EY188" s="134"/>
      <c r="EZ188" s="134"/>
      <c r="FA188" s="134"/>
      <c r="FB188" s="134"/>
      <c r="FC188" s="134"/>
      <c r="FD188" s="134"/>
      <c r="FE188" s="134"/>
      <c r="FF188" s="134"/>
      <c r="FG188" s="134"/>
      <c r="FH188" s="134"/>
      <c r="FI188" s="134"/>
      <c r="FJ188" s="134"/>
      <c r="FK188" s="134"/>
      <c r="FL188" s="134"/>
      <c r="FM188" s="134"/>
      <c r="FN188" s="134"/>
      <c r="FO188" s="134"/>
      <c r="FP188" s="134"/>
      <c r="FQ188" s="134"/>
      <c r="FR188" s="134"/>
      <c r="FS188" s="134"/>
      <c r="FT188" s="134"/>
      <c r="FU188" s="134"/>
      <c r="FV188" s="134"/>
      <c r="FW188" s="134"/>
      <c r="FX188" s="134"/>
      <c r="FY188" s="134"/>
      <c r="FZ188" s="134"/>
      <c r="GA188" s="134"/>
      <c r="GB188" s="134"/>
      <c r="GC188" s="134"/>
      <c r="GD188" s="134"/>
      <c r="GE188" s="134"/>
      <c r="GF188" s="134"/>
      <c r="GG188" s="134"/>
      <c r="GH188" s="134"/>
      <c r="GI188" s="134"/>
      <c r="GJ188" s="134"/>
      <c r="GK188" s="134"/>
      <c r="GL188" s="134"/>
      <c r="GM188" s="134"/>
      <c r="GN188" s="134"/>
      <c r="GO188" s="134"/>
      <c r="GP188" s="134"/>
      <c r="GQ188" s="134"/>
      <c r="GR188" s="134"/>
      <c r="GS188" s="134"/>
      <c r="GT188" s="134"/>
      <c r="GU188" s="134"/>
      <c r="GV188" s="134"/>
      <c r="GW188" s="134"/>
      <c r="GX188" s="134"/>
      <c r="GY188" s="134"/>
      <c r="GZ188" s="134"/>
      <c r="HA188" s="134"/>
      <c r="HB188" s="134"/>
      <c r="HC188" s="134"/>
      <c r="HD188" s="134"/>
      <c r="HE188" s="134"/>
      <c r="HF188" s="134"/>
      <c r="HG188" s="134"/>
      <c r="HH188" s="134"/>
      <c r="HI188" s="134"/>
      <c r="HJ188" s="134"/>
      <c r="HK188" s="134"/>
      <c r="HL188" s="134"/>
      <c r="HM188" s="134"/>
      <c r="HN188" s="134"/>
      <c r="HO188" s="134"/>
      <c r="HP188" s="134"/>
      <c r="HQ188" s="134"/>
      <c r="HR188" s="134"/>
      <c r="HS188" s="134"/>
      <c r="HT188" s="134"/>
      <c r="HU188" s="134"/>
      <c r="HV188" s="134"/>
      <c r="HW188" s="134"/>
      <c r="HX188" s="134"/>
      <c r="HY188" s="134"/>
      <c r="HZ188" s="134"/>
      <c r="IA188" s="134"/>
      <c r="IB188" s="134"/>
      <c r="IC188" s="134"/>
      <c r="ID188" s="134"/>
      <c r="IE188" s="134"/>
      <c r="IF188" s="134"/>
      <c r="IG188" s="134"/>
      <c r="IH188" s="134"/>
      <c r="II188" s="134"/>
      <c r="IJ188" s="134"/>
      <c r="IK188" s="134"/>
      <c r="IL188" s="134"/>
      <c r="IM188" s="134"/>
      <c r="IN188" s="134"/>
      <c r="IO188" s="134"/>
      <c r="IP188" s="134"/>
      <c r="IQ188" s="134"/>
      <c r="IR188" s="134"/>
      <c r="IS188" s="134"/>
      <c r="IT188" s="134"/>
      <c r="IU188" s="134"/>
    </row>
    <row r="189" spans="1:255" ht="64.25" customHeight="1" x14ac:dyDescent="0.2">
      <c r="A189" s="236" t="str">
        <f>'HECVAT - Full'!A189</f>
        <v>DRPL-11</v>
      </c>
      <c r="B189" s="236" t="str">
        <f>VLOOKUP(A189,'HECVAT - Full'!A$24:B$312,2,FALSE)</f>
        <v>Do the documented test results identify your organizations actual recovery time capabilities for technology and facilities?</v>
      </c>
      <c r="C189" s="237" t="s">
        <v>2878</v>
      </c>
      <c r="D189" s="247" t="s">
        <v>2879</v>
      </c>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c r="CB189" s="134"/>
      <c r="CC189" s="134"/>
      <c r="CD189" s="134"/>
      <c r="CE189" s="134"/>
      <c r="CF189" s="134"/>
      <c r="CG189" s="134"/>
      <c r="CH189" s="134"/>
      <c r="CI189" s="134"/>
      <c r="CJ189" s="134"/>
      <c r="CK189" s="134"/>
      <c r="CL189" s="134"/>
      <c r="CM189" s="134"/>
      <c r="CN189" s="134"/>
      <c r="CO189" s="134"/>
      <c r="CP189" s="134"/>
      <c r="CQ189" s="134"/>
      <c r="CR189" s="134"/>
      <c r="CS189" s="134"/>
      <c r="CT189" s="134"/>
      <c r="CU189" s="134"/>
      <c r="CV189" s="134"/>
      <c r="CW189" s="134"/>
      <c r="CX189" s="134"/>
      <c r="CY189" s="134"/>
      <c r="CZ189" s="134"/>
      <c r="DA189" s="134"/>
      <c r="DB189" s="134"/>
      <c r="DC189" s="134"/>
      <c r="DD189" s="134"/>
      <c r="DE189" s="134"/>
      <c r="DF189" s="134"/>
      <c r="DG189" s="134"/>
      <c r="DH189" s="134"/>
      <c r="DI189" s="134"/>
      <c r="DJ189" s="134"/>
      <c r="DK189" s="134"/>
      <c r="DL189" s="134"/>
      <c r="DM189" s="134"/>
      <c r="DN189" s="134"/>
      <c r="DO189" s="134"/>
      <c r="DP189" s="134"/>
      <c r="DQ189" s="134"/>
      <c r="DR189" s="134"/>
      <c r="DS189" s="134"/>
      <c r="DT189" s="134"/>
      <c r="DU189" s="134"/>
      <c r="DV189" s="134"/>
      <c r="DW189" s="134"/>
      <c r="DX189" s="134"/>
      <c r="DY189" s="134"/>
      <c r="DZ189" s="134"/>
      <c r="EA189" s="134"/>
      <c r="EB189" s="134"/>
      <c r="EC189" s="134"/>
      <c r="ED189" s="134"/>
      <c r="EE189" s="134"/>
      <c r="EF189" s="134"/>
      <c r="EG189" s="134"/>
      <c r="EH189" s="134"/>
      <c r="EI189" s="134"/>
      <c r="EJ189" s="134"/>
      <c r="EK189" s="134"/>
      <c r="EL189" s="134"/>
      <c r="EM189" s="134"/>
      <c r="EN189" s="134"/>
      <c r="EO189" s="134"/>
      <c r="EP189" s="134"/>
      <c r="EQ189" s="134"/>
      <c r="ER189" s="134"/>
      <c r="ES189" s="134"/>
      <c r="ET189" s="134"/>
      <c r="EU189" s="134"/>
      <c r="EV189" s="134"/>
      <c r="EW189" s="134"/>
      <c r="EX189" s="134"/>
      <c r="EY189" s="134"/>
      <c r="EZ189" s="134"/>
      <c r="FA189" s="134"/>
      <c r="FB189" s="134"/>
      <c r="FC189" s="134"/>
      <c r="FD189" s="134"/>
      <c r="FE189" s="134"/>
      <c r="FF189" s="134"/>
      <c r="FG189" s="134"/>
      <c r="FH189" s="134"/>
      <c r="FI189" s="134"/>
      <c r="FJ189" s="134"/>
      <c r="FK189" s="134"/>
      <c r="FL189" s="134"/>
      <c r="FM189" s="134"/>
      <c r="FN189" s="134"/>
      <c r="FO189" s="134"/>
      <c r="FP189" s="134"/>
      <c r="FQ189" s="134"/>
      <c r="FR189" s="134"/>
      <c r="FS189" s="134"/>
      <c r="FT189" s="134"/>
      <c r="FU189" s="134"/>
      <c r="FV189" s="134"/>
      <c r="FW189" s="134"/>
      <c r="FX189" s="134"/>
      <c r="FY189" s="134"/>
      <c r="FZ189" s="134"/>
      <c r="GA189" s="134"/>
      <c r="GB189" s="134"/>
      <c r="GC189" s="134"/>
      <c r="GD189" s="134"/>
      <c r="GE189" s="134"/>
      <c r="GF189" s="134"/>
      <c r="GG189" s="134"/>
      <c r="GH189" s="134"/>
      <c r="GI189" s="134"/>
      <c r="GJ189" s="134"/>
      <c r="GK189" s="134"/>
      <c r="GL189" s="134"/>
      <c r="GM189" s="134"/>
      <c r="GN189" s="134"/>
      <c r="GO189" s="134"/>
      <c r="GP189" s="134"/>
      <c r="GQ189" s="134"/>
      <c r="GR189" s="134"/>
      <c r="GS189" s="134"/>
      <c r="GT189" s="134"/>
      <c r="GU189" s="134"/>
      <c r="GV189" s="134"/>
      <c r="GW189" s="134"/>
      <c r="GX189" s="134"/>
      <c r="GY189" s="134"/>
      <c r="GZ189" s="134"/>
      <c r="HA189" s="134"/>
      <c r="HB189" s="134"/>
      <c r="HC189" s="134"/>
      <c r="HD189" s="134"/>
      <c r="HE189" s="134"/>
      <c r="HF189" s="134"/>
      <c r="HG189" s="134"/>
      <c r="HH189" s="134"/>
      <c r="HI189" s="134"/>
      <c r="HJ189" s="134"/>
      <c r="HK189" s="134"/>
      <c r="HL189" s="134"/>
      <c r="HM189" s="134"/>
      <c r="HN189" s="134"/>
      <c r="HO189" s="134"/>
      <c r="HP189" s="134"/>
      <c r="HQ189" s="134"/>
      <c r="HR189" s="134"/>
      <c r="HS189" s="134"/>
      <c r="HT189" s="134"/>
      <c r="HU189" s="134"/>
      <c r="HV189" s="134"/>
      <c r="HW189" s="134"/>
      <c r="HX189" s="134"/>
      <c r="HY189" s="134"/>
      <c r="HZ189" s="134"/>
      <c r="IA189" s="134"/>
      <c r="IB189" s="134"/>
      <c r="IC189" s="134"/>
      <c r="ID189" s="134"/>
      <c r="IE189" s="134"/>
      <c r="IF189" s="134"/>
      <c r="IG189" s="134"/>
      <c r="IH189" s="134"/>
      <c r="II189" s="134"/>
      <c r="IJ189" s="134"/>
      <c r="IK189" s="134"/>
      <c r="IL189" s="134"/>
      <c r="IM189" s="134"/>
      <c r="IN189" s="134"/>
      <c r="IO189" s="134"/>
      <c r="IP189" s="134"/>
      <c r="IQ189" s="134"/>
      <c r="IR189" s="134"/>
      <c r="IS189" s="134"/>
      <c r="IT189" s="134"/>
      <c r="IU189" s="134"/>
    </row>
    <row r="190" spans="1:255" ht="84" customHeight="1" x14ac:dyDescent="0.2">
      <c r="A190" s="236" t="str">
        <f>'HECVAT - Full'!A190</f>
        <v>DRPL-12</v>
      </c>
      <c r="B190" s="236" t="str">
        <f>VLOOKUP(A190,'HECVAT - Full'!A$24:B$312,2,FALSE)</f>
        <v xml:space="preserve">Are all components of the DRP reviewed at least annually and updated as needed to reflect change? </v>
      </c>
      <c r="C190" s="269" t="s">
        <v>3032</v>
      </c>
      <c r="D190" s="251" t="s">
        <v>2877</v>
      </c>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T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Y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c r="FW190" s="134"/>
      <c r="FX190" s="134"/>
      <c r="FY190" s="134"/>
      <c r="FZ190" s="134"/>
      <c r="GA190" s="134"/>
      <c r="GB190" s="134"/>
      <c r="GC190" s="134"/>
      <c r="GD190" s="134"/>
      <c r="GE190" s="134"/>
      <c r="GF190" s="134"/>
      <c r="GG190" s="134"/>
      <c r="GH190" s="134"/>
      <c r="GI190" s="134"/>
      <c r="GJ190" s="134"/>
      <c r="GK190" s="134"/>
      <c r="GL190" s="134"/>
      <c r="GM190" s="134"/>
      <c r="GN190" s="134"/>
      <c r="GO190" s="134"/>
      <c r="GP190" s="134"/>
      <c r="GQ190" s="134"/>
      <c r="GR190" s="134"/>
      <c r="GS190" s="134"/>
      <c r="GT190" s="134"/>
      <c r="GU190" s="134"/>
      <c r="GV190" s="134"/>
      <c r="GW190" s="134"/>
      <c r="GX190" s="134"/>
      <c r="GY190" s="134"/>
      <c r="GZ190" s="134"/>
      <c r="HA190" s="134"/>
      <c r="HB190" s="134"/>
      <c r="HC190" s="134"/>
      <c r="HD190" s="134"/>
      <c r="HE190" s="134"/>
      <c r="HF190" s="134"/>
      <c r="HG190" s="134"/>
      <c r="HH190" s="134"/>
      <c r="HI190" s="134"/>
      <c r="HJ190" s="134"/>
      <c r="HK190" s="134"/>
      <c r="HL190" s="134"/>
      <c r="HM190" s="134"/>
      <c r="HN190" s="134"/>
      <c r="HO190" s="134"/>
      <c r="HP190" s="134"/>
      <c r="HQ190" s="134"/>
      <c r="HR190" s="134"/>
      <c r="HS190" s="134"/>
      <c r="HT190" s="134"/>
      <c r="HU190" s="134"/>
      <c r="HV190" s="134"/>
      <c r="HW190" s="134"/>
      <c r="HX190" s="134"/>
      <c r="HY190" s="134"/>
      <c r="HZ190" s="134"/>
      <c r="IA190" s="134"/>
      <c r="IB190" s="134"/>
      <c r="IC190" s="134"/>
      <c r="ID190" s="134"/>
      <c r="IE190" s="134"/>
      <c r="IF190" s="134"/>
      <c r="IG190" s="134"/>
      <c r="IH190" s="134"/>
      <c r="II190" s="134"/>
      <c r="IJ190" s="134"/>
      <c r="IK190" s="134"/>
      <c r="IL190" s="134"/>
      <c r="IM190" s="134"/>
      <c r="IN190" s="134"/>
      <c r="IO190" s="134"/>
      <c r="IP190" s="134"/>
      <c r="IQ190" s="134"/>
      <c r="IR190" s="134"/>
      <c r="IS190" s="134"/>
      <c r="IT190" s="134"/>
      <c r="IU190" s="134"/>
    </row>
    <row r="191" spans="1:255" ht="82.5" customHeight="1" x14ac:dyDescent="0.2">
      <c r="A191" s="236" t="str">
        <f>'HECVAT - Full'!A191</f>
        <v>DRPL-13</v>
      </c>
      <c r="B191" s="236" t="str">
        <f>VLOOKUP(A191,'HECVAT - Full'!A$24:B$312,2,FALSE)</f>
        <v>Do you carry cyber-risk insurance to protect against unforeseen service outages, data that is lost or stolen, and security incidents?</v>
      </c>
      <c r="C191" s="237" t="s">
        <v>2880</v>
      </c>
      <c r="D191" s="247" t="s">
        <v>2881</v>
      </c>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c r="GB191" s="134"/>
      <c r="GC191" s="134"/>
      <c r="GD191" s="134"/>
      <c r="GE191" s="134"/>
      <c r="GF191" s="134"/>
      <c r="GG191" s="134"/>
      <c r="GH191" s="134"/>
      <c r="GI191" s="134"/>
      <c r="GJ191" s="134"/>
      <c r="GK191" s="134"/>
      <c r="GL191" s="134"/>
      <c r="GM191" s="134"/>
      <c r="GN191" s="134"/>
      <c r="GO191" s="134"/>
      <c r="GP191" s="134"/>
      <c r="GQ191" s="134"/>
      <c r="GR191" s="134"/>
      <c r="GS191" s="134"/>
      <c r="GT191" s="134"/>
      <c r="GU191" s="134"/>
      <c r="GV191" s="134"/>
      <c r="GW191" s="134"/>
      <c r="GX191" s="134"/>
      <c r="GY191" s="134"/>
      <c r="GZ191" s="134"/>
      <c r="HA191" s="134"/>
      <c r="HB191" s="134"/>
      <c r="HC191" s="134"/>
      <c r="HD191" s="134"/>
      <c r="HE191" s="134"/>
      <c r="HF191" s="134"/>
      <c r="HG191" s="134"/>
      <c r="HH191" s="134"/>
      <c r="HI191" s="134"/>
      <c r="HJ191" s="134"/>
      <c r="HK191" s="134"/>
      <c r="HL191" s="134"/>
      <c r="HM191" s="134"/>
      <c r="HN191" s="134"/>
      <c r="HO191" s="134"/>
      <c r="HP191" s="134"/>
      <c r="HQ191" s="134"/>
      <c r="HR191" s="134"/>
      <c r="HS191" s="134"/>
      <c r="HT191" s="134"/>
      <c r="HU191" s="134"/>
      <c r="HV191" s="134"/>
      <c r="HW191" s="134"/>
      <c r="HX191" s="134"/>
      <c r="HY191" s="134"/>
      <c r="HZ191" s="134"/>
      <c r="IA191" s="134"/>
      <c r="IB191" s="134"/>
      <c r="IC191" s="134"/>
      <c r="ID191" s="134"/>
      <c r="IE191" s="134"/>
      <c r="IF191" s="134"/>
      <c r="IG191" s="134"/>
      <c r="IH191" s="134"/>
      <c r="II191" s="134"/>
      <c r="IJ191" s="134"/>
      <c r="IK191" s="134"/>
      <c r="IL191" s="134"/>
      <c r="IM191" s="134"/>
      <c r="IN191" s="134"/>
      <c r="IO191" s="134"/>
      <c r="IP191" s="134"/>
      <c r="IQ191" s="134"/>
      <c r="IR191" s="134"/>
      <c r="IS191" s="134"/>
      <c r="IT191" s="134"/>
      <c r="IU191" s="134"/>
    </row>
    <row r="192" spans="1:255" ht="36" customHeight="1" x14ac:dyDescent="0.2">
      <c r="A192" s="341" t="str">
        <f>IF($C$30="","Firewalls, IDS, IPS, and Networking",IF($C$30="Yes","FW/IDPS/Networks - Optional based on QUALIFIER response.","Firewalls, IDS, IPS, and Networking"))</f>
        <v>Firewalls, IDS, IPS, and Networking</v>
      </c>
      <c r="B192" s="341"/>
      <c r="C192" s="234" t="str">
        <f>$C$22</f>
        <v>Reason for Question</v>
      </c>
      <c r="D192" s="234" t="str">
        <f>$D$22</f>
        <v>Follow-up Inquiries/Responses</v>
      </c>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c r="CZ192" s="134"/>
      <c r="DA192" s="134"/>
      <c r="DB192" s="134"/>
      <c r="DC192" s="134"/>
      <c r="DD192" s="134"/>
      <c r="DE192" s="134"/>
      <c r="DF192" s="134"/>
      <c r="DG192" s="134"/>
      <c r="DH192" s="134"/>
      <c r="DI192" s="134"/>
      <c r="DJ192" s="134"/>
      <c r="DK192" s="134"/>
      <c r="DL192" s="134"/>
      <c r="DM192" s="134"/>
      <c r="DN192" s="134"/>
      <c r="DO192" s="134"/>
      <c r="DP192" s="134"/>
      <c r="DQ192" s="134"/>
      <c r="DR192" s="134"/>
      <c r="DS192" s="134"/>
      <c r="DT192" s="134"/>
      <c r="DU192" s="134"/>
      <c r="DV192" s="134"/>
      <c r="DW192" s="134"/>
      <c r="DX192" s="134"/>
      <c r="DY192" s="134"/>
      <c r="DZ192" s="134"/>
      <c r="EA192" s="134"/>
      <c r="EB192" s="134"/>
      <c r="EC192" s="134"/>
      <c r="ED192" s="134"/>
      <c r="EE192" s="134"/>
      <c r="EF192" s="134"/>
      <c r="EG192" s="134"/>
      <c r="EH192" s="134"/>
      <c r="EI192" s="134"/>
      <c r="EJ192" s="134"/>
      <c r="EK192" s="134"/>
      <c r="EL192" s="134"/>
      <c r="EM192" s="134"/>
      <c r="EN192" s="134"/>
      <c r="EO192" s="134"/>
      <c r="EP192" s="134"/>
      <c r="EQ192" s="134"/>
      <c r="ER192" s="134"/>
      <c r="ES192" s="134"/>
      <c r="ET192" s="134"/>
      <c r="EU192" s="134"/>
      <c r="EV192" s="134"/>
      <c r="EW192" s="134"/>
      <c r="EX192" s="134"/>
      <c r="EY192" s="134"/>
      <c r="EZ192" s="134"/>
      <c r="FA192" s="134"/>
      <c r="FB192" s="134"/>
      <c r="FC192" s="134"/>
      <c r="FD192" s="134"/>
      <c r="FE192" s="134"/>
      <c r="FF192" s="134"/>
      <c r="FG192" s="134"/>
      <c r="FH192" s="134"/>
      <c r="FI192" s="134"/>
      <c r="FJ192" s="134"/>
      <c r="FK192" s="134"/>
      <c r="FL192" s="134"/>
      <c r="FM192" s="134"/>
      <c r="FN192" s="134"/>
      <c r="FO192" s="134"/>
      <c r="FP192" s="134"/>
      <c r="FQ192" s="134"/>
      <c r="FR192" s="134"/>
      <c r="FS192" s="134"/>
      <c r="FT192" s="134"/>
      <c r="FU192" s="134"/>
      <c r="FV192" s="134"/>
      <c r="FW192" s="134"/>
      <c r="FX192" s="134"/>
      <c r="FY192" s="134"/>
      <c r="FZ192" s="134"/>
      <c r="GA192" s="134"/>
      <c r="GB192" s="134"/>
      <c r="GC192" s="134"/>
      <c r="GD192" s="134"/>
      <c r="GE192" s="134"/>
      <c r="GF192" s="134"/>
      <c r="GG192" s="134"/>
      <c r="GH192" s="134"/>
      <c r="GI192" s="134"/>
      <c r="GJ192" s="134"/>
      <c r="GK192" s="134"/>
      <c r="GL192" s="134"/>
      <c r="GM192" s="134"/>
      <c r="GN192" s="134"/>
      <c r="GO192" s="134"/>
      <c r="GP192" s="134"/>
      <c r="GQ192" s="134"/>
      <c r="GR192" s="134"/>
      <c r="GS192" s="134"/>
      <c r="GT192" s="134"/>
      <c r="GU192" s="134"/>
      <c r="GV192" s="134"/>
      <c r="GW192" s="134"/>
      <c r="GX192" s="134"/>
      <c r="GY192" s="134"/>
      <c r="GZ192" s="134"/>
      <c r="HA192" s="134"/>
      <c r="HB192" s="134"/>
      <c r="HC192" s="134"/>
      <c r="HD192" s="134"/>
      <c r="HE192" s="134"/>
      <c r="HF192" s="134"/>
      <c r="HG192" s="134"/>
      <c r="HH192" s="134"/>
      <c r="HI192" s="134"/>
      <c r="HJ192" s="134"/>
      <c r="HK192" s="134"/>
      <c r="HL192" s="134"/>
      <c r="HM192" s="134"/>
      <c r="HN192" s="134"/>
      <c r="HO192" s="134"/>
      <c r="HP192" s="134"/>
      <c r="HQ192" s="134"/>
      <c r="HR192" s="134"/>
      <c r="HS192" s="134"/>
      <c r="HT192" s="134"/>
      <c r="HU192" s="134"/>
      <c r="HV192" s="134"/>
      <c r="HW192" s="134"/>
      <c r="HX192" s="134"/>
      <c r="HY192" s="134"/>
      <c r="HZ192" s="134"/>
      <c r="IA192" s="134"/>
      <c r="IB192" s="134"/>
      <c r="IC192" s="134"/>
      <c r="ID192" s="134"/>
      <c r="IE192" s="134"/>
      <c r="IF192" s="134"/>
      <c r="IG192" s="134"/>
      <c r="IH192" s="134"/>
      <c r="II192" s="134"/>
      <c r="IJ192" s="134"/>
      <c r="IK192" s="134"/>
      <c r="IL192" s="134"/>
      <c r="IM192" s="134"/>
      <c r="IN192" s="134"/>
      <c r="IO192" s="134"/>
      <c r="IP192" s="134"/>
      <c r="IQ192" s="134"/>
      <c r="IR192" s="134"/>
      <c r="IS192" s="134"/>
      <c r="IT192" s="134"/>
      <c r="IU192" s="134"/>
    </row>
    <row r="193" spans="1:255" ht="120" x14ac:dyDescent="0.2">
      <c r="A193" s="236" t="str">
        <f>'HECVAT - Full'!A193</f>
        <v>FIDP-01</v>
      </c>
      <c r="B193" s="236" t="str">
        <f>VLOOKUP(A193,'HECVAT - Full'!A$24:B$312,2,FALSE)</f>
        <v>Are you utilizing a web application firewall (WAF)?</v>
      </c>
      <c r="C193" s="239" t="s">
        <v>2882</v>
      </c>
      <c r="D193" s="244" t="s">
        <v>2883</v>
      </c>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DE193" s="134"/>
      <c r="DF193" s="134"/>
      <c r="DG193" s="134"/>
      <c r="DH193" s="134"/>
      <c r="DI193" s="134"/>
      <c r="DJ193" s="134"/>
      <c r="DK193" s="134"/>
      <c r="DL193" s="134"/>
      <c r="DM193" s="134"/>
      <c r="DN193" s="134"/>
      <c r="DO193" s="134"/>
      <c r="DP193" s="134"/>
      <c r="DQ193" s="134"/>
      <c r="DR193" s="134"/>
      <c r="DS193" s="134"/>
      <c r="DT193" s="134"/>
      <c r="DU193" s="134"/>
      <c r="DV193" s="134"/>
      <c r="DW193" s="134"/>
      <c r="DX193" s="134"/>
      <c r="DY193" s="134"/>
      <c r="DZ193" s="134"/>
      <c r="EA193" s="134"/>
      <c r="EB193" s="134"/>
      <c r="EC193" s="134"/>
      <c r="ED193" s="134"/>
      <c r="EE193" s="134"/>
      <c r="EF193" s="134"/>
      <c r="EG193" s="134"/>
      <c r="EH193" s="134"/>
      <c r="EI193" s="134"/>
      <c r="EJ193" s="134"/>
      <c r="EK193" s="134"/>
      <c r="EL193" s="134"/>
      <c r="EM193" s="134"/>
      <c r="EN193" s="134"/>
      <c r="EO193" s="134"/>
      <c r="EP193" s="134"/>
      <c r="EQ193" s="134"/>
      <c r="ER193" s="134"/>
      <c r="ES193" s="134"/>
      <c r="ET193" s="134"/>
      <c r="EU193" s="134"/>
      <c r="EV193" s="134"/>
      <c r="EW193" s="134"/>
      <c r="EX193" s="134"/>
      <c r="EY193" s="134"/>
      <c r="EZ193" s="134"/>
      <c r="FA193" s="134"/>
      <c r="FB193" s="134"/>
      <c r="FC193" s="134"/>
      <c r="FD193" s="134"/>
      <c r="FE193" s="134"/>
      <c r="FF193" s="134"/>
      <c r="FG193" s="134"/>
      <c r="FH193" s="134"/>
      <c r="FI193" s="134"/>
      <c r="FJ193" s="134"/>
      <c r="FK193" s="134"/>
      <c r="FL193" s="134"/>
      <c r="FM193" s="134"/>
      <c r="FN193" s="134"/>
      <c r="FO193" s="134"/>
      <c r="FP193" s="134"/>
      <c r="FQ193" s="134"/>
      <c r="FR193" s="134"/>
      <c r="FS193" s="134"/>
      <c r="FT193" s="134"/>
      <c r="FU193" s="134"/>
      <c r="FV193" s="134"/>
      <c r="FW193" s="134"/>
      <c r="FX193" s="134"/>
      <c r="FY193" s="134"/>
      <c r="FZ193" s="134"/>
      <c r="GA193" s="134"/>
      <c r="GB193" s="134"/>
      <c r="GC193" s="134"/>
      <c r="GD193" s="134"/>
      <c r="GE193" s="134"/>
      <c r="GF193" s="134"/>
      <c r="GG193" s="134"/>
      <c r="GH193" s="134"/>
      <c r="GI193" s="134"/>
      <c r="GJ193" s="134"/>
      <c r="GK193" s="134"/>
      <c r="GL193" s="134"/>
      <c r="GM193" s="134"/>
      <c r="GN193" s="134"/>
      <c r="GO193" s="134"/>
      <c r="GP193" s="134"/>
      <c r="GQ193" s="134"/>
      <c r="GR193" s="134"/>
      <c r="GS193" s="134"/>
      <c r="GT193" s="134"/>
      <c r="GU193" s="134"/>
      <c r="GV193" s="134"/>
      <c r="GW193" s="134"/>
      <c r="GX193" s="134"/>
      <c r="GY193" s="134"/>
      <c r="GZ193" s="134"/>
      <c r="HA193" s="134"/>
      <c r="HB193" s="134"/>
      <c r="HC193" s="134"/>
      <c r="HD193" s="134"/>
      <c r="HE193" s="134"/>
      <c r="HF193" s="134"/>
      <c r="HG193" s="134"/>
      <c r="HH193" s="134"/>
      <c r="HI193" s="134"/>
      <c r="HJ193" s="134"/>
      <c r="HK193" s="134"/>
      <c r="HL193" s="134"/>
      <c r="HM193" s="134"/>
      <c r="HN193" s="134"/>
      <c r="HO193" s="134"/>
      <c r="HP193" s="134"/>
      <c r="HQ193" s="134"/>
      <c r="HR193" s="134"/>
      <c r="HS193" s="134"/>
      <c r="HT193" s="134"/>
      <c r="HU193" s="134"/>
      <c r="HV193" s="134"/>
      <c r="HW193" s="134"/>
      <c r="HX193" s="134"/>
      <c r="HY193" s="134"/>
      <c r="HZ193" s="134"/>
      <c r="IA193" s="134"/>
      <c r="IB193" s="134"/>
      <c r="IC193" s="134"/>
      <c r="ID193" s="134"/>
      <c r="IE193" s="134"/>
      <c r="IF193" s="134"/>
      <c r="IG193" s="134"/>
      <c r="IH193" s="134"/>
      <c r="II193" s="134"/>
      <c r="IJ193" s="134"/>
      <c r="IK193" s="134"/>
      <c r="IL193" s="134"/>
      <c r="IM193" s="134"/>
      <c r="IN193" s="134"/>
      <c r="IO193" s="134"/>
      <c r="IP193" s="134"/>
      <c r="IQ193" s="134"/>
      <c r="IR193" s="134"/>
      <c r="IS193" s="134"/>
      <c r="IT193" s="134"/>
      <c r="IU193" s="134"/>
    </row>
    <row r="194" spans="1:255" ht="120" x14ac:dyDescent="0.2">
      <c r="A194" s="236" t="str">
        <f>'HECVAT - Full'!A194</f>
        <v>FIDP-02</v>
      </c>
      <c r="B194" s="236" t="str">
        <f>VLOOKUP(A194,'HECVAT - Full'!A$24:B$312,2,FALSE)</f>
        <v>Are you utilizing a stateful packet inspection (SPI) firewall?</v>
      </c>
      <c r="C194" s="239" t="s">
        <v>2882</v>
      </c>
      <c r="D194" s="244" t="s">
        <v>2883</v>
      </c>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34"/>
      <c r="BR194" s="134"/>
      <c r="BS194" s="134"/>
      <c r="BT194" s="134"/>
      <c r="BU194" s="134"/>
      <c r="BV194" s="134"/>
      <c r="BW194" s="134"/>
      <c r="BX194" s="134"/>
      <c r="BY194" s="134"/>
      <c r="BZ194" s="134"/>
      <c r="CA194" s="134"/>
      <c r="CB194" s="134"/>
      <c r="CC194" s="134"/>
      <c r="CD194" s="134"/>
      <c r="CE194" s="134"/>
      <c r="CF194" s="134"/>
      <c r="CG194" s="134"/>
      <c r="CH194" s="134"/>
      <c r="CI194" s="134"/>
      <c r="CJ194" s="134"/>
      <c r="CK194" s="134"/>
      <c r="CL194" s="134"/>
      <c r="CM194" s="134"/>
      <c r="CN194" s="134"/>
      <c r="CO194" s="134"/>
      <c r="CP194" s="134"/>
      <c r="CQ194" s="134"/>
      <c r="CR194" s="134"/>
      <c r="CS194" s="134"/>
      <c r="CT194" s="134"/>
      <c r="CU194" s="134"/>
      <c r="CV194" s="134"/>
      <c r="CW194" s="134"/>
      <c r="CX194" s="134"/>
      <c r="CY194" s="134"/>
      <c r="CZ194" s="134"/>
      <c r="DA194" s="134"/>
      <c r="DB194" s="134"/>
      <c r="DC194" s="134"/>
      <c r="DD194" s="134"/>
      <c r="DE194" s="134"/>
      <c r="DF194" s="134"/>
      <c r="DG194" s="134"/>
      <c r="DH194" s="134"/>
      <c r="DI194" s="134"/>
      <c r="DJ194" s="134"/>
      <c r="DK194" s="134"/>
      <c r="DL194" s="134"/>
      <c r="DM194" s="134"/>
      <c r="DN194" s="134"/>
      <c r="DO194" s="134"/>
      <c r="DP194" s="134"/>
      <c r="DQ194" s="134"/>
      <c r="DR194" s="134"/>
      <c r="DS194" s="134"/>
      <c r="DT194" s="134"/>
      <c r="DU194" s="134"/>
      <c r="DV194" s="134"/>
      <c r="DW194" s="134"/>
      <c r="DX194" s="134"/>
      <c r="DY194" s="134"/>
      <c r="DZ194" s="134"/>
      <c r="EA194" s="134"/>
      <c r="EB194" s="134"/>
      <c r="EC194" s="134"/>
      <c r="ED194" s="134"/>
      <c r="EE194" s="134"/>
      <c r="EF194" s="134"/>
      <c r="EG194" s="134"/>
      <c r="EH194" s="134"/>
      <c r="EI194" s="134"/>
      <c r="EJ194" s="134"/>
      <c r="EK194" s="134"/>
      <c r="EL194" s="134"/>
      <c r="EM194" s="134"/>
      <c r="EN194" s="134"/>
      <c r="EO194" s="134"/>
      <c r="EP194" s="134"/>
      <c r="EQ194" s="134"/>
      <c r="ER194" s="134"/>
      <c r="ES194" s="134"/>
      <c r="ET194" s="134"/>
      <c r="EU194" s="134"/>
      <c r="EV194" s="134"/>
      <c r="EW194" s="134"/>
      <c r="EX194" s="134"/>
      <c r="EY194" s="134"/>
      <c r="EZ194" s="134"/>
      <c r="FA194" s="134"/>
      <c r="FB194" s="134"/>
      <c r="FC194" s="134"/>
      <c r="FD194" s="134"/>
      <c r="FE194" s="134"/>
      <c r="FF194" s="134"/>
      <c r="FG194" s="134"/>
      <c r="FH194" s="134"/>
      <c r="FI194" s="134"/>
      <c r="FJ194" s="134"/>
      <c r="FK194" s="134"/>
      <c r="FL194" s="134"/>
      <c r="FM194" s="134"/>
      <c r="FN194" s="134"/>
      <c r="FO194" s="134"/>
      <c r="FP194" s="134"/>
      <c r="FQ194" s="134"/>
      <c r="FR194" s="134"/>
      <c r="FS194" s="134"/>
      <c r="FT194" s="134"/>
      <c r="FU194" s="134"/>
      <c r="FV194" s="134"/>
      <c r="FW194" s="134"/>
      <c r="FX194" s="134"/>
      <c r="FY194" s="134"/>
      <c r="FZ194" s="134"/>
      <c r="GA194" s="134"/>
      <c r="GB194" s="134"/>
      <c r="GC194" s="134"/>
      <c r="GD194" s="134"/>
      <c r="GE194" s="134"/>
      <c r="GF194" s="134"/>
      <c r="GG194" s="134"/>
      <c r="GH194" s="134"/>
      <c r="GI194" s="134"/>
      <c r="GJ194" s="134"/>
      <c r="GK194" s="134"/>
      <c r="GL194" s="134"/>
      <c r="GM194" s="134"/>
      <c r="GN194" s="134"/>
      <c r="GO194" s="134"/>
      <c r="GP194" s="134"/>
      <c r="GQ194" s="134"/>
      <c r="GR194" s="134"/>
      <c r="GS194" s="134"/>
      <c r="GT194" s="134"/>
      <c r="GU194" s="134"/>
      <c r="GV194" s="134"/>
      <c r="GW194" s="134"/>
      <c r="GX194" s="134"/>
      <c r="GY194" s="134"/>
      <c r="GZ194" s="134"/>
      <c r="HA194" s="134"/>
      <c r="HB194" s="134"/>
      <c r="HC194" s="134"/>
      <c r="HD194" s="134"/>
      <c r="HE194" s="134"/>
      <c r="HF194" s="134"/>
      <c r="HG194" s="134"/>
      <c r="HH194" s="134"/>
      <c r="HI194" s="134"/>
      <c r="HJ194" s="134"/>
      <c r="HK194" s="134"/>
      <c r="HL194" s="134"/>
      <c r="HM194" s="134"/>
      <c r="HN194" s="134"/>
      <c r="HO194" s="134"/>
      <c r="HP194" s="134"/>
      <c r="HQ194" s="134"/>
      <c r="HR194" s="134"/>
      <c r="HS194" s="134"/>
      <c r="HT194" s="134"/>
      <c r="HU194" s="134"/>
      <c r="HV194" s="134"/>
      <c r="HW194" s="134"/>
      <c r="HX194" s="134"/>
      <c r="HY194" s="134"/>
      <c r="HZ194" s="134"/>
      <c r="IA194" s="134"/>
      <c r="IB194" s="134"/>
      <c r="IC194" s="134"/>
      <c r="ID194" s="134"/>
      <c r="IE194" s="134"/>
      <c r="IF194" s="134"/>
      <c r="IG194" s="134"/>
      <c r="IH194" s="134"/>
      <c r="II194" s="134"/>
      <c r="IJ194" s="134"/>
      <c r="IK194" s="134"/>
      <c r="IL194" s="134"/>
      <c r="IM194" s="134"/>
      <c r="IN194" s="134"/>
      <c r="IO194" s="134"/>
      <c r="IP194" s="134"/>
      <c r="IQ194" s="134"/>
      <c r="IR194" s="134"/>
      <c r="IS194" s="134"/>
      <c r="IT194" s="134"/>
      <c r="IU194" s="134"/>
    </row>
    <row r="195" spans="1:255" ht="75" customHeight="1" x14ac:dyDescent="0.2">
      <c r="A195" s="236" t="str">
        <f>'HECVAT - Full'!A195</f>
        <v>FIDP-03</v>
      </c>
      <c r="B195" s="236" t="str">
        <f>VLOOKUP(A195,'HECVAT - Full'!A$24:B$312,2,FALSE)</f>
        <v>State and describe who has the authority to change firewall rules?</v>
      </c>
      <c r="C195" s="237" t="s">
        <v>2884</v>
      </c>
      <c r="D195" s="265" t="s">
        <v>3034</v>
      </c>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c r="CB195" s="134"/>
      <c r="CC195" s="134"/>
      <c r="CD195" s="134"/>
      <c r="CE195" s="134"/>
      <c r="CF195" s="134"/>
      <c r="CG195" s="134"/>
      <c r="CH195" s="134"/>
      <c r="CI195" s="134"/>
      <c r="CJ195" s="134"/>
      <c r="CK195" s="134"/>
      <c r="CL195" s="134"/>
      <c r="CM195" s="134"/>
      <c r="CN195" s="134"/>
      <c r="CO195" s="134"/>
      <c r="CP195" s="134"/>
      <c r="CQ195" s="134"/>
      <c r="CR195" s="134"/>
      <c r="CS195" s="134"/>
      <c r="CT195" s="134"/>
      <c r="CU195" s="134"/>
      <c r="CV195" s="134"/>
      <c r="CW195" s="134"/>
      <c r="CX195" s="134"/>
      <c r="CY195" s="134"/>
      <c r="CZ195" s="134"/>
      <c r="DA195" s="134"/>
      <c r="DB195" s="134"/>
      <c r="DC195" s="134"/>
      <c r="DD195" s="134"/>
      <c r="DE195" s="134"/>
      <c r="DF195" s="134"/>
      <c r="DG195" s="134"/>
      <c r="DH195" s="134"/>
      <c r="DI195" s="134"/>
      <c r="DJ195" s="134"/>
      <c r="DK195" s="134"/>
      <c r="DL195" s="134"/>
      <c r="DM195" s="134"/>
      <c r="DN195" s="134"/>
      <c r="DO195" s="134"/>
      <c r="DP195" s="134"/>
      <c r="DQ195" s="134"/>
      <c r="DR195" s="134"/>
      <c r="DS195" s="134"/>
      <c r="DT195" s="134"/>
      <c r="DU195" s="134"/>
      <c r="DV195" s="134"/>
      <c r="DW195" s="134"/>
      <c r="DX195" s="134"/>
      <c r="DY195" s="134"/>
      <c r="DZ195" s="134"/>
      <c r="EA195" s="134"/>
      <c r="EB195" s="134"/>
      <c r="EC195" s="134"/>
      <c r="ED195" s="134"/>
      <c r="EE195" s="134"/>
      <c r="EF195" s="134"/>
      <c r="EG195" s="134"/>
      <c r="EH195" s="134"/>
      <c r="EI195" s="134"/>
      <c r="EJ195" s="134"/>
      <c r="EK195" s="134"/>
      <c r="EL195" s="134"/>
      <c r="EM195" s="134"/>
      <c r="EN195" s="134"/>
      <c r="EO195" s="134"/>
      <c r="EP195" s="134"/>
      <c r="EQ195" s="134"/>
      <c r="ER195" s="134"/>
      <c r="ES195" s="134"/>
      <c r="ET195" s="134"/>
      <c r="EU195" s="134"/>
      <c r="EV195" s="134"/>
      <c r="EW195" s="134"/>
      <c r="EX195" s="134"/>
      <c r="EY195" s="134"/>
      <c r="EZ195" s="134"/>
      <c r="FA195" s="134"/>
      <c r="FB195" s="134"/>
      <c r="FC195" s="134"/>
      <c r="FD195" s="134"/>
      <c r="FE195" s="134"/>
      <c r="FF195" s="134"/>
      <c r="FG195" s="134"/>
      <c r="FH195" s="134"/>
      <c r="FI195" s="134"/>
      <c r="FJ195" s="134"/>
      <c r="FK195" s="134"/>
      <c r="FL195" s="134"/>
      <c r="FM195" s="134"/>
      <c r="FN195" s="134"/>
      <c r="FO195" s="134"/>
      <c r="FP195" s="134"/>
      <c r="FQ195" s="134"/>
      <c r="FR195" s="134"/>
      <c r="FS195" s="134"/>
      <c r="FT195" s="134"/>
      <c r="FU195" s="134"/>
      <c r="FV195" s="134"/>
      <c r="FW195" s="134"/>
      <c r="FX195" s="134"/>
      <c r="FY195" s="134"/>
      <c r="FZ195" s="134"/>
      <c r="GA195" s="134"/>
      <c r="GB195" s="134"/>
      <c r="GC195" s="134"/>
      <c r="GD195" s="134"/>
      <c r="GE195" s="134"/>
      <c r="GF195" s="134"/>
      <c r="GG195" s="134"/>
      <c r="GH195" s="134"/>
      <c r="GI195" s="134"/>
      <c r="GJ195" s="134"/>
      <c r="GK195" s="134"/>
      <c r="GL195" s="134"/>
      <c r="GM195" s="134"/>
      <c r="GN195" s="134"/>
      <c r="GO195" s="134"/>
      <c r="GP195" s="134"/>
      <c r="GQ195" s="134"/>
      <c r="GR195" s="134"/>
      <c r="GS195" s="134"/>
      <c r="GT195" s="134"/>
      <c r="GU195" s="134"/>
      <c r="GV195" s="134"/>
      <c r="GW195" s="134"/>
      <c r="GX195" s="134"/>
      <c r="GY195" s="134"/>
      <c r="GZ195" s="134"/>
      <c r="HA195" s="134"/>
      <c r="HB195" s="134"/>
      <c r="HC195" s="134"/>
      <c r="HD195" s="134"/>
      <c r="HE195" s="134"/>
      <c r="HF195" s="134"/>
      <c r="HG195" s="134"/>
      <c r="HH195" s="134"/>
      <c r="HI195" s="134"/>
      <c r="HJ195" s="134"/>
      <c r="HK195" s="134"/>
      <c r="HL195" s="134"/>
      <c r="HM195" s="134"/>
      <c r="HN195" s="134"/>
      <c r="HO195" s="134"/>
      <c r="HP195" s="134"/>
      <c r="HQ195" s="134"/>
      <c r="HR195" s="134"/>
      <c r="HS195" s="134"/>
      <c r="HT195" s="134"/>
      <c r="HU195" s="134"/>
      <c r="HV195" s="134"/>
      <c r="HW195" s="134"/>
      <c r="HX195" s="134"/>
      <c r="HY195" s="134"/>
      <c r="HZ195" s="134"/>
      <c r="IA195" s="134"/>
      <c r="IB195" s="134"/>
      <c r="IC195" s="134"/>
      <c r="ID195" s="134"/>
      <c r="IE195" s="134"/>
      <c r="IF195" s="134"/>
      <c r="IG195" s="134"/>
      <c r="IH195" s="134"/>
      <c r="II195" s="134"/>
      <c r="IJ195" s="134"/>
      <c r="IK195" s="134"/>
      <c r="IL195" s="134"/>
      <c r="IM195" s="134"/>
      <c r="IN195" s="134"/>
      <c r="IO195" s="134"/>
      <c r="IP195" s="134"/>
      <c r="IQ195" s="134"/>
      <c r="IR195" s="134"/>
      <c r="IS195" s="134"/>
      <c r="IT195" s="134"/>
      <c r="IU195" s="134"/>
    </row>
    <row r="196" spans="1:255" ht="96" customHeight="1" x14ac:dyDescent="0.2">
      <c r="A196" s="236" t="str">
        <f>'HECVAT - Full'!A196</f>
        <v>FIDP-04</v>
      </c>
      <c r="B196" s="236" t="str">
        <f>VLOOKUP(A196,'HECVAT - Full'!A$24:B$312,2,FALSE)</f>
        <v>Do you have a documented policy for firewall change requests?</v>
      </c>
      <c r="C196" s="239" t="s">
        <v>2885</v>
      </c>
      <c r="D196" s="244" t="s">
        <v>2886</v>
      </c>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34"/>
      <c r="CC196" s="134"/>
      <c r="CD196" s="134"/>
      <c r="CE196" s="134"/>
      <c r="CF196" s="134"/>
      <c r="CG196" s="134"/>
      <c r="CH196" s="134"/>
      <c r="CI196" s="134"/>
      <c r="CJ196" s="134"/>
      <c r="CK196" s="134"/>
      <c r="CL196" s="134"/>
      <c r="CM196" s="134"/>
      <c r="CN196" s="134"/>
      <c r="CO196" s="134"/>
      <c r="CP196" s="134"/>
      <c r="CQ196" s="134"/>
      <c r="CR196" s="134"/>
      <c r="CS196" s="134"/>
      <c r="CT196" s="134"/>
      <c r="CU196" s="134"/>
      <c r="CV196" s="134"/>
      <c r="CW196" s="134"/>
      <c r="CX196" s="134"/>
      <c r="CY196" s="134"/>
      <c r="CZ196" s="134"/>
      <c r="DA196" s="134"/>
      <c r="DB196" s="134"/>
      <c r="DC196" s="134"/>
      <c r="DD196" s="134"/>
      <c r="DE196" s="134"/>
      <c r="DF196" s="134"/>
      <c r="DG196" s="134"/>
      <c r="DH196" s="134"/>
      <c r="DI196" s="134"/>
      <c r="DJ196" s="134"/>
      <c r="DK196" s="134"/>
      <c r="DL196" s="134"/>
      <c r="DM196" s="134"/>
      <c r="DN196" s="134"/>
      <c r="DO196" s="134"/>
      <c r="DP196" s="134"/>
      <c r="DQ196" s="134"/>
      <c r="DR196" s="134"/>
      <c r="DS196" s="134"/>
      <c r="DT196" s="134"/>
      <c r="DU196" s="134"/>
      <c r="DV196" s="134"/>
      <c r="DW196" s="134"/>
      <c r="DX196" s="134"/>
      <c r="DY196" s="134"/>
      <c r="DZ196" s="134"/>
      <c r="EA196" s="134"/>
      <c r="EB196" s="134"/>
      <c r="EC196" s="134"/>
      <c r="ED196" s="134"/>
      <c r="EE196" s="134"/>
      <c r="EF196" s="134"/>
      <c r="EG196" s="134"/>
      <c r="EH196" s="134"/>
      <c r="EI196" s="134"/>
      <c r="EJ196" s="134"/>
      <c r="EK196" s="134"/>
      <c r="EL196" s="134"/>
      <c r="EM196" s="134"/>
      <c r="EN196" s="134"/>
      <c r="EO196" s="134"/>
      <c r="EP196" s="134"/>
      <c r="EQ196" s="134"/>
      <c r="ER196" s="134"/>
      <c r="ES196" s="134"/>
      <c r="ET196" s="134"/>
      <c r="EU196" s="134"/>
      <c r="EV196" s="134"/>
      <c r="EW196" s="134"/>
      <c r="EX196" s="134"/>
      <c r="EY196" s="134"/>
      <c r="EZ196" s="134"/>
      <c r="FA196" s="134"/>
      <c r="FB196" s="134"/>
      <c r="FC196" s="134"/>
      <c r="FD196" s="134"/>
      <c r="FE196" s="134"/>
      <c r="FF196" s="134"/>
      <c r="FG196" s="134"/>
      <c r="FH196" s="134"/>
      <c r="FI196" s="134"/>
      <c r="FJ196" s="134"/>
      <c r="FK196" s="134"/>
      <c r="FL196" s="134"/>
      <c r="FM196" s="134"/>
      <c r="FN196" s="134"/>
      <c r="FO196" s="134"/>
      <c r="FP196" s="134"/>
      <c r="FQ196" s="134"/>
      <c r="FR196" s="134"/>
      <c r="FS196" s="134"/>
      <c r="FT196" s="134"/>
      <c r="FU196" s="134"/>
      <c r="FV196" s="134"/>
      <c r="FW196" s="134"/>
      <c r="FX196" s="134"/>
      <c r="FY196" s="134"/>
      <c r="FZ196" s="134"/>
      <c r="GA196" s="134"/>
      <c r="GB196" s="134"/>
      <c r="GC196" s="134"/>
      <c r="GD196" s="134"/>
      <c r="GE196" s="134"/>
      <c r="GF196" s="134"/>
      <c r="GG196" s="134"/>
      <c r="GH196" s="134"/>
      <c r="GI196" s="134"/>
      <c r="GJ196" s="134"/>
      <c r="GK196" s="134"/>
      <c r="GL196" s="134"/>
      <c r="GM196" s="134"/>
      <c r="GN196" s="134"/>
      <c r="GO196" s="134"/>
      <c r="GP196" s="134"/>
      <c r="GQ196" s="134"/>
      <c r="GR196" s="134"/>
      <c r="GS196" s="134"/>
      <c r="GT196" s="134"/>
      <c r="GU196" s="134"/>
      <c r="GV196" s="134"/>
      <c r="GW196" s="134"/>
      <c r="GX196" s="134"/>
      <c r="GY196" s="134"/>
      <c r="GZ196" s="134"/>
      <c r="HA196" s="134"/>
      <c r="HB196" s="134"/>
      <c r="HC196" s="134"/>
      <c r="HD196" s="134"/>
      <c r="HE196" s="134"/>
      <c r="HF196" s="134"/>
      <c r="HG196" s="134"/>
      <c r="HH196" s="134"/>
      <c r="HI196" s="134"/>
      <c r="HJ196" s="134"/>
      <c r="HK196" s="134"/>
      <c r="HL196" s="134"/>
      <c r="HM196" s="134"/>
      <c r="HN196" s="134"/>
      <c r="HO196" s="134"/>
      <c r="HP196" s="134"/>
      <c r="HQ196" s="134"/>
      <c r="HR196" s="134"/>
      <c r="HS196" s="134"/>
      <c r="HT196" s="134"/>
      <c r="HU196" s="134"/>
      <c r="HV196" s="134"/>
      <c r="HW196" s="134"/>
      <c r="HX196" s="134"/>
      <c r="HY196" s="134"/>
      <c r="HZ196" s="134"/>
      <c r="IA196" s="134"/>
      <c r="IB196" s="134"/>
      <c r="IC196" s="134"/>
      <c r="ID196" s="134"/>
      <c r="IE196" s="134"/>
      <c r="IF196" s="134"/>
      <c r="IG196" s="134"/>
      <c r="IH196" s="134"/>
      <c r="II196" s="134"/>
      <c r="IJ196" s="134"/>
      <c r="IK196" s="134"/>
      <c r="IL196" s="134"/>
      <c r="IM196" s="134"/>
      <c r="IN196" s="134"/>
      <c r="IO196" s="134"/>
      <c r="IP196" s="134"/>
      <c r="IQ196" s="134"/>
      <c r="IR196" s="134"/>
      <c r="IS196" s="134"/>
      <c r="IT196" s="134"/>
      <c r="IU196" s="134"/>
    </row>
    <row r="197" spans="1:255" ht="86.25" customHeight="1" x14ac:dyDescent="0.2">
      <c r="A197" s="236" t="str">
        <f>'HECVAT - Full'!A197</f>
        <v>FIDP-05</v>
      </c>
      <c r="B197" s="236" t="str">
        <f>VLOOKUP(A197,'HECVAT - Full'!A$24:B$312,2,FALSE)</f>
        <v>Have you implemented an Intrusion Detection System (network-based)?</v>
      </c>
      <c r="C197" s="237" t="s">
        <v>2887</v>
      </c>
      <c r="D197" s="247" t="s">
        <v>2888</v>
      </c>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34"/>
      <c r="CC197" s="134"/>
      <c r="CD197" s="134"/>
      <c r="CE197" s="134"/>
      <c r="CF197" s="134"/>
      <c r="CG197" s="134"/>
      <c r="CH197" s="134"/>
      <c r="CI197" s="134"/>
      <c r="CJ197" s="134"/>
      <c r="CK197" s="134"/>
      <c r="CL197" s="134"/>
      <c r="CM197" s="134"/>
      <c r="CN197" s="134"/>
      <c r="CO197" s="134"/>
      <c r="CP197" s="134"/>
      <c r="CQ197" s="134"/>
      <c r="CR197" s="134"/>
      <c r="CS197" s="134"/>
      <c r="CT197" s="134"/>
      <c r="CU197" s="134"/>
      <c r="CV197" s="134"/>
      <c r="CW197" s="134"/>
      <c r="CX197" s="134"/>
      <c r="CY197" s="134"/>
      <c r="CZ197" s="134"/>
      <c r="DA197" s="134"/>
      <c r="DB197" s="134"/>
      <c r="DC197" s="134"/>
      <c r="DD197" s="134"/>
      <c r="DE197" s="134"/>
      <c r="DF197" s="134"/>
      <c r="DG197" s="134"/>
      <c r="DH197" s="134"/>
      <c r="DI197" s="134"/>
      <c r="DJ197" s="134"/>
      <c r="DK197" s="134"/>
      <c r="DL197" s="134"/>
      <c r="DM197" s="134"/>
      <c r="DN197" s="134"/>
      <c r="DO197" s="134"/>
      <c r="DP197" s="134"/>
      <c r="DQ197" s="134"/>
      <c r="DR197" s="134"/>
      <c r="DS197" s="134"/>
      <c r="DT197" s="134"/>
      <c r="DU197" s="134"/>
      <c r="DV197" s="134"/>
      <c r="DW197" s="134"/>
      <c r="DX197" s="134"/>
      <c r="DY197" s="134"/>
      <c r="DZ197" s="134"/>
      <c r="EA197" s="134"/>
      <c r="EB197" s="134"/>
      <c r="EC197" s="134"/>
      <c r="ED197" s="134"/>
      <c r="EE197" s="134"/>
      <c r="EF197" s="134"/>
      <c r="EG197" s="134"/>
      <c r="EH197" s="134"/>
      <c r="EI197" s="134"/>
      <c r="EJ197" s="134"/>
      <c r="EK197" s="134"/>
      <c r="EL197" s="134"/>
      <c r="EM197" s="134"/>
      <c r="EN197" s="134"/>
      <c r="EO197" s="134"/>
      <c r="EP197" s="134"/>
      <c r="EQ197" s="134"/>
      <c r="ER197" s="134"/>
      <c r="ES197" s="134"/>
      <c r="ET197" s="134"/>
      <c r="EU197" s="134"/>
      <c r="EV197" s="134"/>
      <c r="EW197" s="134"/>
      <c r="EX197" s="134"/>
      <c r="EY197" s="134"/>
      <c r="EZ197" s="134"/>
      <c r="FA197" s="134"/>
      <c r="FB197" s="134"/>
      <c r="FC197" s="134"/>
      <c r="FD197" s="134"/>
      <c r="FE197" s="134"/>
      <c r="FF197" s="134"/>
      <c r="FG197" s="134"/>
      <c r="FH197" s="134"/>
      <c r="FI197" s="134"/>
      <c r="FJ197" s="134"/>
      <c r="FK197" s="134"/>
      <c r="FL197" s="134"/>
      <c r="FM197" s="134"/>
      <c r="FN197" s="134"/>
      <c r="FO197" s="134"/>
      <c r="FP197" s="134"/>
      <c r="FQ197" s="134"/>
      <c r="FR197" s="134"/>
      <c r="FS197" s="134"/>
      <c r="FT197" s="134"/>
      <c r="FU197" s="134"/>
      <c r="FV197" s="134"/>
      <c r="FW197" s="134"/>
      <c r="FX197" s="134"/>
      <c r="FY197" s="134"/>
      <c r="FZ197" s="134"/>
      <c r="GA197" s="134"/>
      <c r="GB197" s="134"/>
      <c r="GC197" s="134"/>
      <c r="GD197" s="134"/>
      <c r="GE197" s="134"/>
      <c r="GF197" s="134"/>
      <c r="GG197" s="134"/>
      <c r="GH197" s="134"/>
      <c r="GI197" s="134"/>
      <c r="GJ197" s="134"/>
      <c r="GK197" s="134"/>
      <c r="GL197" s="134"/>
      <c r="GM197" s="134"/>
      <c r="GN197" s="134"/>
      <c r="GO197" s="134"/>
      <c r="GP197" s="134"/>
      <c r="GQ197" s="134"/>
      <c r="GR197" s="134"/>
      <c r="GS197" s="134"/>
      <c r="GT197" s="134"/>
      <c r="GU197" s="134"/>
      <c r="GV197" s="134"/>
      <c r="GW197" s="134"/>
      <c r="GX197" s="134"/>
      <c r="GY197" s="134"/>
      <c r="GZ197" s="134"/>
      <c r="HA197" s="134"/>
      <c r="HB197" s="134"/>
      <c r="HC197" s="134"/>
      <c r="HD197" s="134"/>
      <c r="HE197" s="134"/>
      <c r="HF197" s="134"/>
      <c r="HG197" s="134"/>
      <c r="HH197" s="134"/>
      <c r="HI197" s="134"/>
      <c r="HJ197" s="134"/>
      <c r="HK197" s="134"/>
      <c r="HL197" s="134"/>
      <c r="HM197" s="134"/>
      <c r="HN197" s="134"/>
      <c r="HO197" s="134"/>
      <c r="HP197" s="134"/>
      <c r="HQ197" s="134"/>
      <c r="HR197" s="134"/>
      <c r="HS197" s="134"/>
      <c r="HT197" s="134"/>
      <c r="HU197" s="134"/>
      <c r="HV197" s="134"/>
      <c r="HW197" s="134"/>
      <c r="HX197" s="134"/>
      <c r="HY197" s="134"/>
      <c r="HZ197" s="134"/>
      <c r="IA197" s="134"/>
      <c r="IB197" s="134"/>
      <c r="IC197" s="134"/>
      <c r="ID197" s="134"/>
      <c r="IE197" s="134"/>
      <c r="IF197" s="134"/>
      <c r="IG197" s="134"/>
      <c r="IH197" s="134"/>
      <c r="II197" s="134"/>
      <c r="IJ197" s="134"/>
      <c r="IK197" s="134"/>
      <c r="IL197" s="134"/>
      <c r="IM197" s="134"/>
      <c r="IN197" s="134"/>
      <c r="IO197" s="134"/>
      <c r="IP197" s="134"/>
      <c r="IQ197" s="134"/>
      <c r="IR197" s="134"/>
      <c r="IS197" s="134"/>
      <c r="IT197" s="134"/>
      <c r="IU197" s="134"/>
    </row>
    <row r="198" spans="1:255" ht="90" x14ac:dyDescent="0.2">
      <c r="A198" s="236" t="str">
        <f>'HECVAT - Full'!A198</f>
        <v>FIDP-06</v>
      </c>
      <c r="B198" s="236" t="str">
        <f>VLOOKUP(A198,'HECVAT - Full'!A$24:B$312,2,FALSE)</f>
        <v>Have you implemented an Intrusion Prevention System (network-based)?</v>
      </c>
      <c r="C198" s="237" t="s">
        <v>2889</v>
      </c>
      <c r="D198" s="247" t="s">
        <v>2890</v>
      </c>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c r="CZ198" s="134"/>
      <c r="DA198" s="134"/>
      <c r="DB198" s="134"/>
      <c r="DC198" s="134"/>
      <c r="DD198" s="134"/>
      <c r="DE198" s="134"/>
      <c r="DF198" s="134"/>
      <c r="DG198" s="134"/>
      <c r="DH198" s="134"/>
      <c r="DI198" s="134"/>
      <c r="DJ198" s="134"/>
      <c r="DK198" s="134"/>
      <c r="DL198" s="134"/>
      <c r="DM198" s="134"/>
      <c r="DN198" s="134"/>
      <c r="DO198" s="134"/>
      <c r="DP198" s="134"/>
      <c r="DQ198" s="134"/>
      <c r="DR198" s="134"/>
      <c r="DS198" s="134"/>
      <c r="DT198" s="134"/>
      <c r="DU198" s="134"/>
      <c r="DV198" s="134"/>
      <c r="DW198" s="134"/>
      <c r="DX198" s="134"/>
      <c r="DY198" s="134"/>
      <c r="DZ198" s="134"/>
      <c r="EA198" s="134"/>
      <c r="EB198" s="134"/>
      <c r="EC198" s="134"/>
      <c r="ED198" s="134"/>
      <c r="EE198" s="134"/>
      <c r="EF198" s="134"/>
      <c r="EG198" s="134"/>
      <c r="EH198" s="134"/>
      <c r="EI198" s="134"/>
      <c r="EJ198" s="134"/>
      <c r="EK198" s="134"/>
      <c r="EL198" s="134"/>
      <c r="EM198" s="134"/>
      <c r="EN198" s="134"/>
      <c r="EO198" s="134"/>
      <c r="EP198" s="134"/>
      <c r="EQ198" s="134"/>
      <c r="ER198" s="134"/>
      <c r="ES198" s="134"/>
      <c r="ET198" s="134"/>
      <c r="EU198" s="134"/>
      <c r="EV198" s="134"/>
      <c r="EW198" s="134"/>
      <c r="EX198" s="134"/>
      <c r="EY198" s="134"/>
      <c r="EZ198" s="134"/>
      <c r="FA198" s="134"/>
      <c r="FB198" s="134"/>
      <c r="FC198" s="134"/>
      <c r="FD198" s="134"/>
      <c r="FE198" s="134"/>
      <c r="FF198" s="134"/>
      <c r="FG198" s="134"/>
      <c r="FH198" s="134"/>
      <c r="FI198" s="134"/>
      <c r="FJ198" s="134"/>
      <c r="FK198" s="134"/>
      <c r="FL198" s="134"/>
      <c r="FM198" s="134"/>
      <c r="FN198" s="134"/>
      <c r="FO198" s="134"/>
      <c r="FP198" s="134"/>
      <c r="FQ198" s="134"/>
      <c r="FR198" s="134"/>
      <c r="FS198" s="134"/>
      <c r="FT198" s="134"/>
      <c r="FU198" s="134"/>
      <c r="FV198" s="134"/>
      <c r="FW198" s="134"/>
      <c r="FX198" s="134"/>
      <c r="FY198" s="134"/>
      <c r="FZ198" s="134"/>
      <c r="GA198" s="134"/>
      <c r="GB198" s="134"/>
      <c r="GC198" s="134"/>
      <c r="GD198" s="134"/>
      <c r="GE198" s="134"/>
      <c r="GF198" s="134"/>
      <c r="GG198" s="134"/>
      <c r="GH198" s="134"/>
      <c r="GI198" s="134"/>
      <c r="GJ198" s="134"/>
      <c r="GK198" s="134"/>
      <c r="GL198" s="134"/>
      <c r="GM198" s="134"/>
      <c r="GN198" s="134"/>
      <c r="GO198" s="134"/>
      <c r="GP198" s="134"/>
      <c r="GQ198" s="134"/>
      <c r="GR198" s="134"/>
      <c r="GS198" s="134"/>
      <c r="GT198" s="134"/>
      <c r="GU198" s="134"/>
      <c r="GV198" s="134"/>
      <c r="GW198" s="134"/>
      <c r="GX198" s="134"/>
      <c r="GY198" s="134"/>
      <c r="GZ198" s="134"/>
      <c r="HA198" s="134"/>
      <c r="HB198" s="134"/>
      <c r="HC198" s="134"/>
      <c r="HD198" s="134"/>
      <c r="HE198" s="134"/>
      <c r="HF198" s="134"/>
      <c r="HG198" s="134"/>
      <c r="HH198" s="134"/>
      <c r="HI198" s="134"/>
      <c r="HJ198" s="134"/>
      <c r="HK198" s="134"/>
      <c r="HL198" s="134"/>
      <c r="HM198" s="134"/>
      <c r="HN198" s="134"/>
      <c r="HO198" s="134"/>
      <c r="HP198" s="134"/>
      <c r="HQ198" s="134"/>
      <c r="HR198" s="134"/>
      <c r="HS198" s="134"/>
      <c r="HT198" s="134"/>
      <c r="HU198" s="134"/>
      <c r="HV198" s="134"/>
      <c r="HW198" s="134"/>
      <c r="HX198" s="134"/>
      <c r="HY198" s="134"/>
      <c r="HZ198" s="134"/>
      <c r="IA198" s="134"/>
      <c r="IB198" s="134"/>
      <c r="IC198" s="134"/>
      <c r="ID198" s="134"/>
      <c r="IE198" s="134"/>
      <c r="IF198" s="134"/>
      <c r="IG198" s="134"/>
      <c r="IH198" s="134"/>
      <c r="II198" s="134"/>
      <c r="IJ198" s="134"/>
      <c r="IK198" s="134"/>
      <c r="IL198" s="134"/>
      <c r="IM198" s="134"/>
      <c r="IN198" s="134"/>
      <c r="IO198" s="134"/>
      <c r="IP198" s="134"/>
      <c r="IQ198" s="134"/>
      <c r="IR198" s="134"/>
      <c r="IS198" s="134"/>
      <c r="IT198" s="134"/>
      <c r="IU198" s="134"/>
    </row>
    <row r="199" spans="1:255" ht="84.75" customHeight="1" x14ac:dyDescent="0.2">
      <c r="A199" s="236" t="str">
        <f>'HECVAT - Full'!A199</f>
        <v>FIDP-07</v>
      </c>
      <c r="B199" s="236" t="str">
        <f>VLOOKUP(A199,'HECVAT - Full'!A$24:B$312,2,FALSE)</f>
        <v>Do you employ host-based intrusion detection?</v>
      </c>
      <c r="C199" s="237" t="s">
        <v>2887</v>
      </c>
      <c r="D199" s="247" t="s">
        <v>2891</v>
      </c>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34"/>
      <c r="CC199" s="134"/>
      <c r="CD199" s="134"/>
      <c r="CE199" s="134"/>
      <c r="CF199" s="134"/>
      <c r="CG199" s="134"/>
      <c r="CH199" s="134"/>
      <c r="CI199" s="134"/>
      <c r="CJ199" s="134"/>
      <c r="CK199" s="134"/>
      <c r="CL199" s="134"/>
      <c r="CM199" s="134"/>
      <c r="CN199" s="134"/>
      <c r="CO199" s="134"/>
      <c r="CP199" s="134"/>
      <c r="CQ199" s="134"/>
      <c r="CR199" s="134"/>
      <c r="CS199" s="134"/>
      <c r="CT199" s="134"/>
      <c r="CU199" s="134"/>
      <c r="CV199" s="134"/>
      <c r="CW199" s="134"/>
      <c r="CX199" s="134"/>
      <c r="CY199" s="134"/>
      <c r="CZ199" s="134"/>
      <c r="DA199" s="134"/>
      <c r="DB199" s="134"/>
      <c r="DC199" s="134"/>
      <c r="DD199" s="134"/>
      <c r="DE199" s="134"/>
      <c r="DF199" s="134"/>
      <c r="DG199" s="134"/>
      <c r="DH199" s="134"/>
      <c r="DI199" s="134"/>
      <c r="DJ199" s="134"/>
      <c r="DK199" s="134"/>
      <c r="DL199" s="134"/>
      <c r="DM199" s="134"/>
      <c r="DN199" s="134"/>
      <c r="DO199" s="134"/>
      <c r="DP199" s="134"/>
      <c r="DQ199" s="134"/>
      <c r="DR199" s="134"/>
      <c r="DS199" s="134"/>
      <c r="DT199" s="134"/>
      <c r="DU199" s="134"/>
      <c r="DV199" s="134"/>
      <c r="DW199" s="134"/>
      <c r="DX199" s="134"/>
      <c r="DY199" s="134"/>
      <c r="DZ199" s="134"/>
      <c r="EA199" s="134"/>
      <c r="EB199" s="134"/>
      <c r="EC199" s="134"/>
      <c r="ED199" s="134"/>
      <c r="EE199" s="134"/>
      <c r="EF199" s="134"/>
      <c r="EG199" s="134"/>
      <c r="EH199" s="134"/>
      <c r="EI199" s="134"/>
      <c r="EJ199" s="134"/>
      <c r="EK199" s="134"/>
      <c r="EL199" s="134"/>
      <c r="EM199" s="134"/>
      <c r="EN199" s="134"/>
      <c r="EO199" s="134"/>
      <c r="EP199" s="134"/>
      <c r="EQ199" s="134"/>
      <c r="ER199" s="134"/>
      <c r="ES199" s="134"/>
      <c r="ET199" s="134"/>
      <c r="EU199" s="134"/>
      <c r="EV199" s="134"/>
      <c r="EW199" s="134"/>
      <c r="EX199" s="134"/>
      <c r="EY199" s="134"/>
      <c r="EZ199" s="134"/>
      <c r="FA199" s="134"/>
      <c r="FB199" s="134"/>
      <c r="FC199" s="134"/>
      <c r="FD199" s="134"/>
      <c r="FE199" s="134"/>
      <c r="FF199" s="134"/>
      <c r="FG199" s="134"/>
      <c r="FH199" s="134"/>
      <c r="FI199" s="134"/>
      <c r="FJ199" s="134"/>
      <c r="FK199" s="134"/>
      <c r="FL199" s="134"/>
      <c r="FM199" s="134"/>
      <c r="FN199" s="134"/>
      <c r="FO199" s="134"/>
      <c r="FP199" s="134"/>
      <c r="FQ199" s="134"/>
      <c r="FR199" s="134"/>
      <c r="FS199" s="134"/>
      <c r="FT199" s="134"/>
      <c r="FU199" s="134"/>
      <c r="FV199" s="134"/>
      <c r="FW199" s="134"/>
      <c r="FX199" s="134"/>
      <c r="FY199" s="134"/>
      <c r="FZ199" s="134"/>
      <c r="GA199" s="134"/>
      <c r="GB199" s="134"/>
      <c r="GC199" s="134"/>
      <c r="GD199" s="134"/>
      <c r="GE199" s="134"/>
      <c r="GF199" s="134"/>
      <c r="GG199" s="134"/>
      <c r="GH199" s="134"/>
      <c r="GI199" s="134"/>
      <c r="GJ199" s="134"/>
      <c r="GK199" s="134"/>
      <c r="GL199" s="134"/>
      <c r="GM199" s="134"/>
      <c r="GN199" s="134"/>
      <c r="GO199" s="134"/>
      <c r="GP199" s="134"/>
      <c r="GQ199" s="134"/>
      <c r="GR199" s="134"/>
      <c r="GS199" s="134"/>
      <c r="GT199" s="134"/>
      <c r="GU199" s="134"/>
      <c r="GV199" s="134"/>
      <c r="GW199" s="134"/>
      <c r="GX199" s="134"/>
      <c r="GY199" s="134"/>
      <c r="GZ199" s="134"/>
      <c r="HA199" s="134"/>
      <c r="HB199" s="134"/>
      <c r="HC199" s="134"/>
      <c r="HD199" s="134"/>
      <c r="HE199" s="134"/>
      <c r="HF199" s="134"/>
      <c r="HG199" s="134"/>
      <c r="HH199" s="134"/>
      <c r="HI199" s="134"/>
      <c r="HJ199" s="134"/>
      <c r="HK199" s="134"/>
      <c r="HL199" s="134"/>
      <c r="HM199" s="134"/>
      <c r="HN199" s="134"/>
      <c r="HO199" s="134"/>
      <c r="HP199" s="134"/>
      <c r="HQ199" s="134"/>
      <c r="HR199" s="134"/>
      <c r="HS199" s="134"/>
      <c r="HT199" s="134"/>
      <c r="HU199" s="134"/>
      <c r="HV199" s="134"/>
      <c r="HW199" s="134"/>
      <c r="HX199" s="134"/>
      <c r="HY199" s="134"/>
      <c r="HZ199" s="134"/>
      <c r="IA199" s="134"/>
      <c r="IB199" s="134"/>
      <c r="IC199" s="134"/>
      <c r="ID199" s="134"/>
      <c r="IE199" s="134"/>
      <c r="IF199" s="134"/>
      <c r="IG199" s="134"/>
      <c r="IH199" s="134"/>
      <c r="II199" s="134"/>
      <c r="IJ199" s="134"/>
      <c r="IK199" s="134"/>
      <c r="IL199" s="134"/>
      <c r="IM199" s="134"/>
      <c r="IN199" s="134"/>
      <c r="IO199" s="134"/>
      <c r="IP199" s="134"/>
      <c r="IQ199" s="134"/>
      <c r="IR199" s="134"/>
      <c r="IS199" s="134"/>
      <c r="IT199" s="134"/>
      <c r="IU199" s="134"/>
    </row>
    <row r="200" spans="1:255" ht="84.75" customHeight="1" x14ac:dyDescent="0.2">
      <c r="A200" s="236" t="str">
        <f>'HECVAT - Full'!A200</f>
        <v>FIDP-08</v>
      </c>
      <c r="B200" s="236" t="str">
        <f>VLOOKUP(A200,'HECVAT - Full'!A$24:B$312,2,FALSE)</f>
        <v>Do you employ host-based intrusion prevention?</v>
      </c>
      <c r="C200" s="237" t="s">
        <v>2889</v>
      </c>
      <c r="D200" s="247" t="s">
        <v>2892</v>
      </c>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34"/>
      <c r="CC200" s="134"/>
      <c r="CD200" s="134"/>
      <c r="CE200" s="134"/>
      <c r="CF200" s="134"/>
      <c r="CG200" s="134"/>
      <c r="CH200" s="134"/>
      <c r="CI200" s="134"/>
      <c r="CJ200" s="134"/>
      <c r="CK200" s="134"/>
      <c r="CL200" s="134"/>
      <c r="CM200" s="134"/>
      <c r="CN200" s="134"/>
      <c r="CO200" s="134"/>
      <c r="CP200" s="134"/>
      <c r="CQ200" s="134"/>
      <c r="CR200" s="134"/>
      <c r="CS200" s="134"/>
      <c r="CT200" s="134"/>
      <c r="CU200" s="134"/>
      <c r="CV200" s="134"/>
      <c r="CW200" s="134"/>
      <c r="CX200" s="134"/>
      <c r="CY200" s="134"/>
      <c r="CZ200" s="134"/>
      <c r="DA200" s="134"/>
      <c r="DB200" s="134"/>
      <c r="DC200" s="134"/>
      <c r="DD200" s="134"/>
      <c r="DE200" s="134"/>
      <c r="DF200" s="134"/>
      <c r="DG200" s="134"/>
      <c r="DH200" s="134"/>
      <c r="DI200" s="134"/>
      <c r="DJ200" s="134"/>
      <c r="DK200" s="134"/>
      <c r="DL200" s="134"/>
      <c r="DM200" s="134"/>
      <c r="DN200" s="134"/>
      <c r="DO200" s="134"/>
      <c r="DP200" s="134"/>
      <c r="DQ200" s="134"/>
      <c r="DR200" s="134"/>
      <c r="DS200" s="134"/>
      <c r="DT200" s="134"/>
      <c r="DU200" s="134"/>
      <c r="DV200" s="134"/>
      <c r="DW200" s="134"/>
      <c r="DX200" s="134"/>
      <c r="DY200" s="134"/>
      <c r="DZ200" s="134"/>
      <c r="EA200" s="134"/>
      <c r="EB200" s="134"/>
      <c r="EC200" s="134"/>
      <c r="ED200" s="134"/>
      <c r="EE200" s="134"/>
      <c r="EF200" s="134"/>
      <c r="EG200" s="134"/>
      <c r="EH200" s="134"/>
      <c r="EI200" s="134"/>
      <c r="EJ200" s="134"/>
      <c r="EK200" s="134"/>
      <c r="EL200" s="134"/>
      <c r="EM200" s="134"/>
      <c r="EN200" s="134"/>
      <c r="EO200" s="134"/>
      <c r="EP200" s="134"/>
      <c r="EQ200" s="134"/>
      <c r="ER200" s="134"/>
      <c r="ES200" s="134"/>
      <c r="ET200" s="134"/>
      <c r="EU200" s="134"/>
      <c r="EV200" s="134"/>
      <c r="EW200" s="134"/>
      <c r="EX200" s="134"/>
      <c r="EY200" s="134"/>
      <c r="EZ200" s="134"/>
      <c r="FA200" s="134"/>
      <c r="FB200" s="134"/>
      <c r="FC200" s="134"/>
      <c r="FD200" s="134"/>
      <c r="FE200" s="134"/>
      <c r="FF200" s="134"/>
      <c r="FG200" s="134"/>
      <c r="FH200" s="134"/>
      <c r="FI200" s="134"/>
      <c r="FJ200" s="134"/>
      <c r="FK200" s="134"/>
      <c r="FL200" s="134"/>
      <c r="FM200" s="134"/>
      <c r="FN200" s="134"/>
      <c r="FO200" s="134"/>
      <c r="FP200" s="134"/>
      <c r="FQ200" s="134"/>
      <c r="FR200" s="134"/>
      <c r="FS200" s="134"/>
      <c r="FT200" s="134"/>
      <c r="FU200" s="134"/>
      <c r="FV200" s="134"/>
      <c r="FW200" s="134"/>
      <c r="FX200" s="134"/>
      <c r="FY200" s="134"/>
      <c r="FZ200" s="134"/>
      <c r="GA200" s="134"/>
      <c r="GB200" s="134"/>
      <c r="GC200" s="134"/>
      <c r="GD200" s="134"/>
      <c r="GE200" s="134"/>
      <c r="GF200" s="134"/>
      <c r="GG200" s="134"/>
      <c r="GH200" s="134"/>
      <c r="GI200" s="134"/>
      <c r="GJ200" s="134"/>
      <c r="GK200" s="134"/>
      <c r="GL200" s="134"/>
      <c r="GM200" s="134"/>
      <c r="GN200" s="134"/>
      <c r="GO200" s="134"/>
      <c r="GP200" s="134"/>
      <c r="GQ200" s="134"/>
      <c r="GR200" s="134"/>
      <c r="GS200" s="134"/>
      <c r="GT200" s="134"/>
      <c r="GU200" s="134"/>
      <c r="GV200" s="134"/>
      <c r="GW200" s="134"/>
      <c r="GX200" s="134"/>
      <c r="GY200" s="134"/>
      <c r="GZ200" s="134"/>
      <c r="HA200" s="134"/>
      <c r="HB200" s="134"/>
      <c r="HC200" s="134"/>
      <c r="HD200" s="134"/>
      <c r="HE200" s="134"/>
      <c r="HF200" s="134"/>
      <c r="HG200" s="134"/>
      <c r="HH200" s="134"/>
      <c r="HI200" s="134"/>
      <c r="HJ200" s="134"/>
      <c r="HK200" s="134"/>
      <c r="HL200" s="134"/>
      <c r="HM200" s="134"/>
      <c r="HN200" s="134"/>
      <c r="HO200" s="134"/>
      <c r="HP200" s="134"/>
      <c r="HQ200" s="134"/>
      <c r="HR200" s="134"/>
      <c r="HS200" s="134"/>
      <c r="HT200" s="134"/>
      <c r="HU200" s="134"/>
      <c r="HV200" s="134"/>
      <c r="HW200" s="134"/>
      <c r="HX200" s="134"/>
      <c r="HY200" s="134"/>
      <c r="HZ200" s="134"/>
      <c r="IA200" s="134"/>
      <c r="IB200" s="134"/>
      <c r="IC200" s="134"/>
      <c r="ID200" s="134"/>
      <c r="IE200" s="134"/>
      <c r="IF200" s="134"/>
      <c r="IG200" s="134"/>
      <c r="IH200" s="134"/>
      <c r="II200" s="134"/>
      <c r="IJ200" s="134"/>
      <c r="IK200" s="134"/>
      <c r="IL200" s="134"/>
      <c r="IM200" s="134"/>
      <c r="IN200" s="134"/>
      <c r="IO200" s="134"/>
      <c r="IP200" s="134"/>
      <c r="IQ200" s="134"/>
      <c r="IR200" s="134"/>
      <c r="IS200" s="134"/>
      <c r="IT200" s="134"/>
      <c r="IU200" s="134"/>
    </row>
    <row r="201" spans="1:255" ht="105" x14ac:dyDescent="0.2">
      <c r="A201" s="236" t="str">
        <f>'HECVAT - Full'!A201</f>
        <v>FIDP-09</v>
      </c>
      <c r="B201" s="236" t="str">
        <f>VLOOKUP(A201,'HECVAT - Full'!A$24:B$312,2,FALSE)</f>
        <v>Are you employing any next-generation persistent threat (NGPT) monitoring?</v>
      </c>
      <c r="C201" s="239" t="s">
        <v>2893</v>
      </c>
      <c r="D201" s="244" t="s">
        <v>2894</v>
      </c>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34"/>
      <c r="BQ201" s="134"/>
      <c r="BR201" s="134"/>
      <c r="BS201" s="134"/>
      <c r="BT201" s="134"/>
      <c r="BU201" s="134"/>
      <c r="BV201" s="134"/>
      <c r="BW201" s="134"/>
      <c r="BX201" s="134"/>
      <c r="BY201" s="134"/>
      <c r="BZ201" s="134"/>
      <c r="CA201" s="134"/>
      <c r="CB201" s="134"/>
      <c r="CC201" s="134"/>
      <c r="CD201" s="134"/>
      <c r="CE201" s="134"/>
      <c r="CF201" s="134"/>
      <c r="CG201" s="134"/>
      <c r="CH201" s="134"/>
      <c r="CI201" s="134"/>
      <c r="CJ201" s="134"/>
      <c r="CK201" s="134"/>
      <c r="CL201" s="134"/>
      <c r="CM201" s="134"/>
      <c r="CN201" s="134"/>
      <c r="CO201" s="134"/>
      <c r="CP201" s="134"/>
      <c r="CQ201" s="134"/>
      <c r="CR201" s="134"/>
      <c r="CS201" s="134"/>
      <c r="CT201" s="134"/>
      <c r="CU201" s="134"/>
      <c r="CV201" s="134"/>
      <c r="CW201" s="134"/>
      <c r="CX201" s="134"/>
      <c r="CY201" s="134"/>
      <c r="CZ201" s="134"/>
      <c r="DA201" s="134"/>
      <c r="DB201" s="134"/>
      <c r="DC201" s="134"/>
      <c r="DD201" s="134"/>
      <c r="DE201" s="134"/>
      <c r="DF201" s="134"/>
      <c r="DG201" s="134"/>
      <c r="DH201" s="134"/>
      <c r="DI201" s="134"/>
      <c r="DJ201" s="134"/>
      <c r="DK201" s="134"/>
      <c r="DL201" s="134"/>
      <c r="DM201" s="134"/>
      <c r="DN201" s="134"/>
      <c r="DO201" s="134"/>
      <c r="DP201" s="134"/>
      <c r="DQ201" s="134"/>
      <c r="DR201" s="134"/>
      <c r="DS201" s="134"/>
      <c r="DT201" s="134"/>
      <c r="DU201" s="134"/>
      <c r="DV201" s="134"/>
      <c r="DW201" s="134"/>
      <c r="DX201" s="134"/>
      <c r="DY201" s="134"/>
      <c r="DZ201" s="134"/>
      <c r="EA201" s="134"/>
      <c r="EB201" s="134"/>
      <c r="EC201" s="134"/>
      <c r="ED201" s="134"/>
      <c r="EE201" s="134"/>
      <c r="EF201" s="134"/>
      <c r="EG201" s="134"/>
      <c r="EH201" s="134"/>
      <c r="EI201" s="134"/>
      <c r="EJ201" s="134"/>
      <c r="EK201" s="134"/>
      <c r="EL201" s="134"/>
      <c r="EM201" s="134"/>
      <c r="EN201" s="134"/>
      <c r="EO201" s="134"/>
      <c r="EP201" s="134"/>
      <c r="EQ201" s="134"/>
      <c r="ER201" s="134"/>
      <c r="ES201" s="134"/>
      <c r="ET201" s="134"/>
      <c r="EU201" s="134"/>
      <c r="EV201" s="134"/>
      <c r="EW201" s="134"/>
      <c r="EX201" s="134"/>
      <c r="EY201" s="134"/>
      <c r="EZ201" s="134"/>
      <c r="FA201" s="134"/>
      <c r="FB201" s="134"/>
      <c r="FC201" s="134"/>
      <c r="FD201" s="134"/>
      <c r="FE201" s="134"/>
      <c r="FF201" s="134"/>
      <c r="FG201" s="134"/>
      <c r="FH201" s="134"/>
      <c r="FI201" s="134"/>
      <c r="FJ201" s="134"/>
      <c r="FK201" s="134"/>
      <c r="FL201" s="134"/>
      <c r="FM201" s="134"/>
      <c r="FN201" s="134"/>
      <c r="FO201" s="134"/>
      <c r="FP201" s="134"/>
      <c r="FQ201" s="134"/>
      <c r="FR201" s="134"/>
      <c r="FS201" s="134"/>
      <c r="FT201" s="134"/>
      <c r="FU201" s="134"/>
      <c r="FV201" s="134"/>
      <c r="FW201" s="134"/>
      <c r="FX201" s="134"/>
      <c r="FY201" s="134"/>
      <c r="FZ201" s="134"/>
      <c r="GA201" s="134"/>
      <c r="GB201" s="134"/>
      <c r="GC201" s="134"/>
      <c r="GD201" s="134"/>
      <c r="GE201" s="134"/>
      <c r="GF201" s="134"/>
      <c r="GG201" s="134"/>
      <c r="GH201" s="134"/>
      <c r="GI201" s="134"/>
      <c r="GJ201" s="134"/>
      <c r="GK201" s="134"/>
      <c r="GL201" s="134"/>
      <c r="GM201" s="134"/>
      <c r="GN201" s="134"/>
      <c r="GO201" s="134"/>
      <c r="GP201" s="134"/>
      <c r="GQ201" s="134"/>
      <c r="GR201" s="134"/>
      <c r="GS201" s="134"/>
      <c r="GT201" s="134"/>
      <c r="GU201" s="134"/>
      <c r="GV201" s="134"/>
      <c r="GW201" s="134"/>
      <c r="GX201" s="134"/>
      <c r="GY201" s="134"/>
      <c r="GZ201" s="134"/>
      <c r="HA201" s="134"/>
      <c r="HB201" s="134"/>
      <c r="HC201" s="134"/>
      <c r="HD201" s="134"/>
      <c r="HE201" s="134"/>
      <c r="HF201" s="134"/>
      <c r="HG201" s="134"/>
      <c r="HH201" s="134"/>
      <c r="HI201" s="134"/>
      <c r="HJ201" s="134"/>
      <c r="HK201" s="134"/>
      <c r="HL201" s="134"/>
      <c r="HM201" s="134"/>
      <c r="HN201" s="134"/>
      <c r="HO201" s="134"/>
      <c r="HP201" s="134"/>
      <c r="HQ201" s="134"/>
      <c r="HR201" s="134"/>
      <c r="HS201" s="134"/>
      <c r="HT201" s="134"/>
      <c r="HU201" s="134"/>
      <c r="HV201" s="134"/>
      <c r="HW201" s="134"/>
      <c r="HX201" s="134"/>
      <c r="HY201" s="134"/>
      <c r="HZ201" s="134"/>
      <c r="IA201" s="134"/>
      <c r="IB201" s="134"/>
      <c r="IC201" s="134"/>
      <c r="ID201" s="134"/>
      <c r="IE201" s="134"/>
      <c r="IF201" s="134"/>
      <c r="IG201" s="134"/>
      <c r="IH201" s="134"/>
      <c r="II201" s="134"/>
      <c r="IJ201" s="134"/>
      <c r="IK201" s="134"/>
      <c r="IL201" s="134"/>
      <c r="IM201" s="134"/>
      <c r="IN201" s="134"/>
      <c r="IO201" s="134"/>
      <c r="IP201" s="134"/>
      <c r="IQ201" s="134"/>
      <c r="IR201" s="134"/>
      <c r="IS201" s="134"/>
      <c r="IT201" s="134"/>
      <c r="IU201" s="134"/>
    </row>
    <row r="202" spans="1:255" ht="96" customHeight="1" x14ac:dyDescent="0.2">
      <c r="A202" s="236" t="str">
        <f>'HECVAT - Full'!A202</f>
        <v>FIDP-10</v>
      </c>
      <c r="B202" s="236" t="str">
        <f>VLOOKUP(A202,'HECVAT - Full'!A$24:B$312,2,FALSE)</f>
        <v>Do you monitor for intrusions on a 24x7x365 basis?</v>
      </c>
      <c r="C202" s="239" t="s">
        <v>2895</v>
      </c>
      <c r="D202" s="244" t="s">
        <v>2896</v>
      </c>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34"/>
      <c r="BR202" s="134"/>
      <c r="BS202" s="134"/>
      <c r="BT202" s="134"/>
      <c r="BU202" s="134"/>
      <c r="BV202" s="134"/>
      <c r="BW202" s="134"/>
      <c r="BX202" s="134"/>
      <c r="BY202" s="134"/>
      <c r="BZ202" s="134"/>
      <c r="CA202" s="134"/>
      <c r="CB202" s="134"/>
      <c r="CC202" s="134"/>
      <c r="CD202" s="134"/>
      <c r="CE202" s="134"/>
      <c r="CF202" s="134"/>
      <c r="CG202" s="134"/>
      <c r="CH202" s="134"/>
      <c r="CI202" s="134"/>
      <c r="CJ202" s="134"/>
      <c r="CK202" s="134"/>
      <c r="CL202" s="134"/>
      <c r="CM202" s="134"/>
      <c r="CN202" s="134"/>
      <c r="CO202" s="134"/>
      <c r="CP202" s="134"/>
      <c r="CQ202" s="134"/>
      <c r="CR202" s="134"/>
      <c r="CS202" s="134"/>
      <c r="CT202" s="134"/>
      <c r="CU202" s="134"/>
      <c r="CV202" s="134"/>
      <c r="CW202" s="134"/>
      <c r="CX202" s="134"/>
      <c r="CY202" s="134"/>
      <c r="CZ202" s="134"/>
      <c r="DA202" s="134"/>
      <c r="DB202" s="134"/>
      <c r="DC202" s="134"/>
      <c r="DD202" s="134"/>
      <c r="DE202" s="134"/>
      <c r="DF202" s="134"/>
      <c r="DG202" s="134"/>
      <c r="DH202" s="134"/>
      <c r="DI202" s="134"/>
      <c r="DJ202" s="134"/>
      <c r="DK202" s="134"/>
      <c r="DL202" s="134"/>
      <c r="DM202" s="134"/>
      <c r="DN202" s="134"/>
      <c r="DO202" s="134"/>
      <c r="DP202" s="134"/>
      <c r="DQ202" s="134"/>
      <c r="DR202" s="134"/>
      <c r="DS202" s="134"/>
      <c r="DT202" s="134"/>
      <c r="DU202" s="134"/>
      <c r="DV202" s="134"/>
      <c r="DW202" s="134"/>
      <c r="DX202" s="134"/>
      <c r="DY202" s="134"/>
      <c r="DZ202" s="134"/>
      <c r="EA202" s="134"/>
      <c r="EB202" s="134"/>
      <c r="EC202" s="134"/>
      <c r="ED202" s="134"/>
      <c r="EE202" s="134"/>
      <c r="EF202" s="134"/>
      <c r="EG202" s="134"/>
      <c r="EH202" s="134"/>
      <c r="EI202" s="134"/>
      <c r="EJ202" s="134"/>
      <c r="EK202" s="134"/>
      <c r="EL202" s="134"/>
      <c r="EM202" s="134"/>
      <c r="EN202" s="134"/>
      <c r="EO202" s="134"/>
      <c r="EP202" s="134"/>
      <c r="EQ202" s="134"/>
      <c r="ER202" s="134"/>
      <c r="ES202" s="134"/>
      <c r="ET202" s="134"/>
      <c r="EU202" s="134"/>
      <c r="EV202" s="134"/>
      <c r="EW202" s="134"/>
      <c r="EX202" s="134"/>
      <c r="EY202" s="134"/>
      <c r="EZ202" s="134"/>
      <c r="FA202" s="134"/>
      <c r="FB202" s="134"/>
      <c r="FC202" s="134"/>
      <c r="FD202" s="134"/>
      <c r="FE202" s="134"/>
      <c r="FF202" s="134"/>
      <c r="FG202" s="134"/>
      <c r="FH202" s="134"/>
      <c r="FI202" s="134"/>
      <c r="FJ202" s="134"/>
      <c r="FK202" s="134"/>
      <c r="FL202" s="134"/>
      <c r="FM202" s="134"/>
      <c r="FN202" s="134"/>
      <c r="FO202" s="134"/>
      <c r="FP202" s="134"/>
      <c r="FQ202" s="134"/>
      <c r="FR202" s="134"/>
      <c r="FS202" s="134"/>
      <c r="FT202" s="134"/>
      <c r="FU202" s="134"/>
      <c r="FV202" s="134"/>
      <c r="FW202" s="134"/>
      <c r="FX202" s="134"/>
      <c r="FY202" s="134"/>
      <c r="FZ202" s="134"/>
      <c r="GA202" s="134"/>
      <c r="GB202" s="134"/>
      <c r="GC202" s="134"/>
      <c r="GD202" s="134"/>
      <c r="GE202" s="134"/>
      <c r="GF202" s="134"/>
      <c r="GG202" s="134"/>
      <c r="GH202" s="134"/>
      <c r="GI202" s="134"/>
      <c r="GJ202" s="134"/>
      <c r="GK202" s="134"/>
      <c r="GL202" s="134"/>
      <c r="GM202" s="134"/>
      <c r="GN202" s="134"/>
      <c r="GO202" s="134"/>
      <c r="GP202" s="134"/>
      <c r="GQ202" s="134"/>
      <c r="GR202" s="134"/>
      <c r="GS202" s="134"/>
      <c r="GT202" s="134"/>
      <c r="GU202" s="134"/>
      <c r="GV202" s="134"/>
      <c r="GW202" s="134"/>
      <c r="GX202" s="134"/>
      <c r="GY202" s="134"/>
      <c r="GZ202" s="134"/>
      <c r="HA202" s="134"/>
      <c r="HB202" s="134"/>
      <c r="HC202" s="134"/>
      <c r="HD202" s="134"/>
      <c r="HE202" s="134"/>
      <c r="HF202" s="134"/>
      <c r="HG202" s="134"/>
      <c r="HH202" s="134"/>
      <c r="HI202" s="134"/>
      <c r="HJ202" s="134"/>
      <c r="HK202" s="134"/>
      <c r="HL202" s="134"/>
      <c r="HM202" s="134"/>
      <c r="HN202" s="134"/>
      <c r="HO202" s="134"/>
      <c r="HP202" s="134"/>
      <c r="HQ202" s="134"/>
      <c r="HR202" s="134"/>
      <c r="HS202" s="134"/>
      <c r="HT202" s="134"/>
      <c r="HU202" s="134"/>
      <c r="HV202" s="134"/>
      <c r="HW202" s="134"/>
      <c r="HX202" s="134"/>
      <c r="HY202" s="134"/>
      <c r="HZ202" s="134"/>
      <c r="IA202" s="134"/>
      <c r="IB202" s="134"/>
      <c r="IC202" s="134"/>
      <c r="ID202" s="134"/>
      <c r="IE202" s="134"/>
      <c r="IF202" s="134"/>
      <c r="IG202" s="134"/>
      <c r="IH202" s="134"/>
      <c r="II202" s="134"/>
      <c r="IJ202" s="134"/>
      <c r="IK202" s="134"/>
      <c r="IL202" s="134"/>
      <c r="IM202" s="134"/>
      <c r="IN202" s="134"/>
      <c r="IO202" s="134"/>
      <c r="IP202" s="134"/>
      <c r="IQ202" s="134"/>
      <c r="IR202" s="134"/>
      <c r="IS202" s="134"/>
      <c r="IT202" s="134"/>
      <c r="IU202" s="134"/>
    </row>
    <row r="203" spans="1:255" ht="84" customHeight="1" x14ac:dyDescent="0.2">
      <c r="A203" s="236" t="str">
        <f>'HECVAT - Full'!A203</f>
        <v>FIDP-11</v>
      </c>
      <c r="B203" s="236" t="str">
        <f>VLOOKUP(A203,'HECVAT - Full'!A$24:B$312,2,FALSE)</f>
        <v>Is intrusion monitoring performed internally or by a third-party service?</v>
      </c>
      <c r="C203" s="237" t="s">
        <v>2897</v>
      </c>
      <c r="D203" s="237" t="s">
        <v>2898</v>
      </c>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4"/>
      <c r="BQ203" s="134"/>
      <c r="BR203" s="134"/>
      <c r="BS203" s="134"/>
      <c r="BT203" s="134"/>
      <c r="BU203" s="134"/>
      <c r="BV203" s="134"/>
      <c r="BW203" s="134"/>
      <c r="BX203" s="134"/>
      <c r="BY203" s="134"/>
      <c r="BZ203" s="134"/>
      <c r="CA203" s="134"/>
      <c r="CB203" s="134"/>
      <c r="CC203" s="134"/>
      <c r="CD203" s="134"/>
      <c r="CE203" s="134"/>
      <c r="CF203" s="134"/>
      <c r="CG203" s="134"/>
      <c r="CH203" s="134"/>
      <c r="CI203" s="134"/>
      <c r="CJ203" s="134"/>
      <c r="CK203" s="134"/>
      <c r="CL203" s="134"/>
      <c r="CM203" s="134"/>
      <c r="CN203" s="134"/>
      <c r="CO203" s="134"/>
      <c r="CP203" s="134"/>
      <c r="CQ203" s="134"/>
      <c r="CR203" s="134"/>
      <c r="CS203" s="134"/>
      <c r="CT203" s="134"/>
      <c r="CU203" s="134"/>
      <c r="CV203" s="134"/>
      <c r="CW203" s="134"/>
      <c r="CX203" s="134"/>
      <c r="CY203" s="134"/>
      <c r="CZ203" s="134"/>
      <c r="DA203" s="134"/>
      <c r="DB203" s="134"/>
      <c r="DC203" s="134"/>
      <c r="DD203" s="134"/>
      <c r="DE203" s="134"/>
      <c r="DF203" s="134"/>
      <c r="DG203" s="134"/>
      <c r="DH203" s="134"/>
      <c r="DI203" s="134"/>
      <c r="DJ203" s="134"/>
      <c r="DK203" s="134"/>
      <c r="DL203" s="134"/>
      <c r="DM203" s="134"/>
      <c r="DN203" s="134"/>
      <c r="DO203" s="134"/>
      <c r="DP203" s="134"/>
      <c r="DQ203" s="134"/>
      <c r="DR203" s="134"/>
      <c r="DS203" s="134"/>
      <c r="DT203" s="134"/>
      <c r="DU203" s="134"/>
      <c r="DV203" s="134"/>
      <c r="DW203" s="134"/>
      <c r="DX203" s="134"/>
      <c r="DY203" s="134"/>
      <c r="DZ203" s="134"/>
      <c r="EA203" s="134"/>
      <c r="EB203" s="134"/>
      <c r="EC203" s="134"/>
      <c r="ED203" s="134"/>
      <c r="EE203" s="134"/>
      <c r="EF203" s="134"/>
      <c r="EG203" s="134"/>
      <c r="EH203" s="134"/>
      <c r="EI203" s="134"/>
      <c r="EJ203" s="134"/>
      <c r="EK203" s="134"/>
      <c r="EL203" s="134"/>
      <c r="EM203" s="134"/>
      <c r="EN203" s="134"/>
      <c r="EO203" s="134"/>
      <c r="EP203" s="134"/>
      <c r="EQ203" s="134"/>
      <c r="ER203" s="134"/>
      <c r="ES203" s="134"/>
      <c r="ET203" s="134"/>
      <c r="EU203" s="134"/>
      <c r="EV203" s="134"/>
      <c r="EW203" s="134"/>
      <c r="EX203" s="134"/>
      <c r="EY203" s="134"/>
      <c r="EZ203" s="134"/>
      <c r="FA203" s="134"/>
      <c r="FB203" s="134"/>
      <c r="FC203" s="134"/>
      <c r="FD203" s="134"/>
      <c r="FE203" s="134"/>
      <c r="FF203" s="134"/>
      <c r="FG203" s="134"/>
      <c r="FH203" s="134"/>
      <c r="FI203" s="134"/>
      <c r="FJ203" s="134"/>
      <c r="FK203" s="134"/>
      <c r="FL203" s="134"/>
      <c r="FM203" s="134"/>
      <c r="FN203" s="134"/>
      <c r="FO203" s="134"/>
      <c r="FP203" s="134"/>
      <c r="FQ203" s="134"/>
      <c r="FR203" s="134"/>
      <c r="FS203" s="134"/>
      <c r="FT203" s="134"/>
      <c r="FU203" s="134"/>
      <c r="FV203" s="134"/>
      <c r="FW203" s="134"/>
      <c r="FX203" s="134"/>
      <c r="FY203" s="134"/>
      <c r="FZ203" s="134"/>
      <c r="GA203" s="134"/>
      <c r="GB203" s="134"/>
      <c r="GC203" s="134"/>
      <c r="GD203" s="134"/>
      <c r="GE203" s="134"/>
      <c r="GF203" s="134"/>
      <c r="GG203" s="134"/>
      <c r="GH203" s="134"/>
      <c r="GI203" s="134"/>
      <c r="GJ203" s="134"/>
      <c r="GK203" s="134"/>
      <c r="GL203" s="134"/>
      <c r="GM203" s="134"/>
      <c r="GN203" s="134"/>
      <c r="GO203" s="134"/>
      <c r="GP203" s="134"/>
      <c r="GQ203" s="134"/>
      <c r="GR203" s="134"/>
      <c r="GS203" s="134"/>
      <c r="GT203" s="134"/>
      <c r="GU203" s="134"/>
      <c r="GV203" s="134"/>
      <c r="GW203" s="134"/>
      <c r="GX203" s="134"/>
      <c r="GY203" s="134"/>
      <c r="GZ203" s="134"/>
      <c r="HA203" s="134"/>
      <c r="HB203" s="134"/>
      <c r="HC203" s="134"/>
      <c r="HD203" s="134"/>
      <c r="HE203" s="134"/>
      <c r="HF203" s="134"/>
      <c r="HG203" s="134"/>
      <c r="HH203" s="134"/>
      <c r="HI203" s="134"/>
      <c r="HJ203" s="134"/>
      <c r="HK203" s="134"/>
      <c r="HL203" s="134"/>
      <c r="HM203" s="134"/>
      <c r="HN203" s="134"/>
      <c r="HO203" s="134"/>
      <c r="HP203" s="134"/>
      <c r="HQ203" s="134"/>
      <c r="HR203" s="134"/>
      <c r="HS203" s="134"/>
      <c r="HT203" s="134"/>
      <c r="HU203" s="134"/>
      <c r="HV203" s="134"/>
      <c r="HW203" s="134"/>
      <c r="HX203" s="134"/>
      <c r="HY203" s="134"/>
      <c r="HZ203" s="134"/>
      <c r="IA203" s="134"/>
      <c r="IB203" s="134"/>
      <c r="IC203" s="134"/>
      <c r="ID203" s="134"/>
      <c r="IE203" s="134"/>
      <c r="IF203" s="134"/>
      <c r="IG203" s="134"/>
      <c r="IH203" s="134"/>
      <c r="II203" s="134"/>
      <c r="IJ203" s="134"/>
      <c r="IK203" s="134"/>
      <c r="IL203" s="134"/>
      <c r="IM203" s="134"/>
      <c r="IN203" s="134"/>
      <c r="IO203" s="134"/>
      <c r="IP203" s="134"/>
      <c r="IQ203" s="134"/>
      <c r="IR203" s="134"/>
      <c r="IS203" s="134"/>
      <c r="IT203" s="134"/>
      <c r="IU203" s="134"/>
    </row>
    <row r="204" spans="1:255" ht="102.75" customHeight="1" x14ac:dyDescent="0.2">
      <c r="A204" s="236" t="str">
        <f>'HECVAT - Full'!A204</f>
        <v>FIDP-12</v>
      </c>
      <c r="B204" s="236" t="str">
        <f>VLOOKUP(A204,'HECVAT - Full'!A$24:B$312,2,FALSE)</f>
        <v>Are audit logs available for all changes to the network, firewall, IDS, and IPS systems?</v>
      </c>
      <c r="C204" s="239" t="s">
        <v>2899</v>
      </c>
      <c r="D204" s="243" t="s">
        <v>2900</v>
      </c>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c r="CZ204" s="134"/>
      <c r="DA204" s="134"/>
      <c r="DB204" s="134"/>
      <c r="DC204" s="134"/>
      <c r="DD204" s="134"/>
      <c r="DE204" s="134"/>
      <c r="DF204" s="134"/>
      <c r="DG204" s="134"/>
      <c r="DH204" s="134"/>
      <c r="DI204" s="134"/>
      <c r="DJ204" s="134"/>
      <c r="DK204" s="134"/>
      <c r="DL204" s="134"/>
      <c r="DM204" s="134"/>
      <c r="DN204" s="134"/>
      <c r="DO204" s="134"/>
      <c r="DP204" s="134"/>
      <c r="DQ204" s="134"/>
      <c r="DR204" s="134"/>
      <c r="DS204" s="134"/>
      <c r="DT204" s="134"/>
      <c r="DU204" s="134"/>
      <c r="DV204" s="134"/>
      <c r="DW204" s="134"/>
      <c r="DX204" s="134"/>
      <c r="DY204" s="134"/>
      <c r="DZ204" s="134"/>
      <c r="EA204" s="134"/>
      <c r="EB204" s="134"/>
      <c r="EC204" s="134"/>
      <c r="ED204" s="134"/>
      <c r="EE204" s="134"/>
      <c r="EF204" s="134"/>
      <c r="EG204" s="134"/>
      <c r="EH204" s="134"/>
      <c r="EI204" s="134"/>
      <c r="EJ204" s="134"/>
      <c r="EK204" s="134"/>
      <c r="EL204" s="134"/>
      <c r="EM204" s="134"/>
      <c r="EN204" s="134"/>
      <c r="EO204" s="134"/>
      <c r="EP204" s="134"/>
      <c r="EQ204" s="134"/>
      <c r="ER204" s="134"/>
      <c r="ES204" s="134"/>
      <c r="ET204" s="134"/>
      <c r="EU204" s="134"/>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4"/>
      <c r="FS204" s="134"/>
      <c r="FT204" s="134"/>
      <c r="FU204" s="134"/>
      <c r="FV204" s="134"/>
      <c r="FW204" s="134"/>
      <c r="FX204" s="134"/>
      <c r="FY204" s="134"/>
      <c r="FZ204" s="134"/>
      <c r="GA204" s="134"/>
      <c r="GB204" s="134"/>
      <c r="GC204" s="134"/>
      <c r="GD204" s="134"/>
      <c r="GE204" s="134"/>
      <c r="GF204" s="134"/>
      <c r="GG204" s="134"/>
      <c r="GH204" s="134"/>
      <c r="GI204" s="134"/>
      <c r="GJ204" s="134"/>
      <c r="GK204" s="134"/>
      <c r="GL204" s="134"/>
      <c r="GM204" s="134"/>
      <c r="GN204" s="134"/>
      <c r="GO204" s="134"/>
      <c r="GP204" s="134"/>
      <c r="GQ204" s="134"/>
      <c r="GR204" s="134"/>
      <c r="GS204" s="134"/>
      <c r="GT204" s="134"/>
      <c r="GU204" s="134"/>
      <c r="GV204" s="134"/>
      <c r="GW204" s="134"/>
      <c r="GX204" s="134"/>
      <c r="GY204" s="134"/>
      <c r="GZ204" s="134"/>
      <c r="HA204" s="134"/>
      <c r="HB204" s="134"/>
      <c r="HC204" s="134"/>
      <c r="HD204" s="134"/>
      <c r="HE204" s="134"/>
      <c r="HF204" s="134"/>
      <c r="HG204" s="134"/>
      <c r="HH204" s="134"/>
      <c r="HI204" s="134"/>
      <c r="HJ204" s="134"/>
      <c r="HK204" s="134"/>
      <c r="HL204" s="134"/>
      <c r="HM204" s="134"/>
      <c r="HN204" s="134"/>
      <c r="HO204" s="134"/>
      <c r="HP204" s="134"/>
      <c r="HQ204" s="134"/>
      <c r="HR204" s="134"/>
      <c r="HS204" s="134"/>
      <c r="HT204" s="134"/>
      <c r="HU204" s="134"/>
      <c r="HV204" s="134"/>
      <c r="HW204" s="134"/>
      <c r="HX204" s="134"/>
      <c r="HY204" s="134"/>
      <c r="HZ204" s="134"/>
      <c r="IA204" s="134"/>
      <c r="IB204" s="134"/>
      <c r="IC204" s="134"/>
      <c r="ID204" s="134"/>
      <c r="IE204" s="134"/>
      <c r="IF204" s="134"/>
      <c r="IG204" s="134"/>
      <c r="IH204" s="134"/>
      <c r="II204" s="134"/>
      <c r="IJ204" s="134"/>
      <c r="IK204" s="134"/>
      <c r="IL204" s="134"/>
      <c r="IM204" s="134"/>
      <c r="IN204" s="134"/>
      <c r="IO204" s="134"/>
      <c r="IP204" s="134"/>
      <c r="IQ204" s="134"/>
      <c r="IR204" s="134"/>
      <c r="IS204" s="134"/>
      <c r="IT204" s="134"/>
      <c r="IU204" s="134"/>
    </row>
    <row r="205" spans="1:255" ht="36" customHeight="1" x14ac:dyDescent="0.2">
      <c r="A205" s="341" t="str">
        <f>IF(OR($C$25="No",$C$30="Yes"),"Mobile Applications - Optional based on QUALIFIER response.","Mobile Applications")</f>
        <v>Mobile Applications</v>
      </c>
      <c r="B205" s="341"/>
      <c r="C205" s="234" t="str">
        <f>$C$22</f>
        <v>Reason for Question</v>
      </c>
      <c r="D205" s="234" t="str">
        <f>$D$22</f>
        <v>Follow-up Inquiries/Responses</v>
      </c>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K205" s="134"/>
      <c r="CL205" s="134"/>
      <c r="CM205" s="134"/>
      <c r="CN205" s="134"/>
      <c r="CO205" s="134"/>
      <c r="CP205" s="134"/>
      <c r="CQ205" s="134"/>
      <c r="CR205" s="134"/>
      <c r="CS205" s="134"/>
      <c r="CT205" s="134"/>
      <c r="CU205" s="134"/>
      <c r="CV205" s="134"/>
      <c r="CW205" s="134"/>
      <c r="CX205" s="134"/>
      <c r="CY205" s="134"/>
      <c r="CZ205" s="134"/>
      <c r="DA205" s="134"/>
      <c r="DB205" s="134"/>
      <c r="DC205" s="134"/>
      <c r="DD205" s="134"/>
      <c r="DE205" s="134"/>
      <c r="DF205" s="134"/>
      <c r="DG205" s="134"/>
      <c r="DH205" s="134"/>
      <c r="DI205" s="134"/>
      <c r="DJ205" s="134"/>
      <c r="DK205" s="134"/>
      <c r="DL205" s="134"/>
      <c r="DM205" s="134"/>
      <c r="DN205" s="134"/>
      <c r="DO205" s="134"/>
      <c r="DP205" s="134"/>
      <c r="DQ205" s="134"/>
      <c r="DR205" s="134"/>
      <c r="DS205" s="134"/>
      <c r="DT205" s="134"/>
      <c r="DU205" s="134"/>
      <c r="DV205" s="134"/>
      <c r="DW205" s="134"/>
      <c r="DX205" s="134"/>
      <c r="DY205" s="134"/>
      <c r="DZ205" s="134"/>
      <c r="EA205" s="134"/>
      <c r="EB205" s="134"/>
      <c r="EC205" s="134"/>
      <c r="ED205" s="134"/>
      <c r="EE205" s="134"/>
      <c r="EF205" s="134"/>
      <c r="EG205" s="134"/>
      <c r="EH205" s="134"/>
      <c r="EI205" s="134"/>
      <c r="EJ205" s="134"/>
      <c r="EK205" s="134"/>
      <c r="EL205" s="134"/>
      <c r="EM205" s="134"/>
      <c r="EN205" s="134"/>
      <c r="EO205" s="134"/>
      <c r="EP205" s="134"/>
      <c r="EQ205" s="134"/>
      <c r="ER205" s="134"/>
      <c r="ES205" s="134"/>
      <c r="ET205" s="134"/>
      <c r="EU205" s="134"/>
      <c r="EV205" s="134"/>
      <c r="EW205" s="134"/>
      <c r="EX205" s="134"/>
      <c r="EY205" s="134"/>
      <c r="EZ205" s="134"/>
      <c r="FA205" s="134"/>
      <c r="FB205" s="134"/>
      <c r="FC205" s="134"/>
      <c r="FD205" s="134"/>
      <c r="FE205" s="134"/>
      <c r="FF205" s="134"/>
      <c r="FG205" s="134"/>
      <c r="FH205" s="134"/>
      <c r="FI205" s="134"/>
      <c r="FJ205" s="134"/>
      <c r="FK205" s="134"/>
      <c r="FL205" s="134"/>
      <c r="FM205" s="134"/>
      <c r="FN205" s="134"/>
      <c r="FO205" s="134"/>
      <c r="FP205" s="134"/>
      <c r="FQ205" s="134"/>
      <c r="FR205" s="134"/>
      <c r="FS205" s="134"/>
      <c r="FT205" s="134"/>
      <c r="FU205" s="134"/>
      <c r="FV205" s="134"/>
      <c r="FW205" s="134"/>
      <c r="FX205" s="134"/>
      <c r="FY205" s="134"/>
      <c r="FZ205" s="134"/>
      <c r="GA205" s="134"/>
      <c r="GB205" s="134"/>
      <c r="GC205" s="134"/>
      <c r="GD205" s="134"/>
      <c r="GE205" s="134"/>
      <c r="GF205" s="134"/>
      <c r="GG205" s="134"/>
      <c r="GH205" s="134"/>
      <c r="GI205" s="134"/>
      <c r="GJ205" s="134"/>
      <c r="GK205" s="134"/>
      <c r="GL205" s="134"/>
      <c r="GM205" s="134"/>
      <c r="GN205" s="134"/>
      <c r="GO205" s="134"/>
      <c r="GP205" s="134"/>
      <c r="GQ205" s="134"/>
      <c r="GR205" s="134"/>
      <c r="GS205" s="134"/>
      <c r="GT205" s="134"/>
      <c r="GU205" s="134"/>
      <c r="GV205" s="134"/>
      <c r="GW205" s="134"/>
      <c r="GX205" s="134"/>
      <c r="GY205" s="134"/>
      <c r="GZ205" s="134"/>
      <c r="HA205" s="134"/>
      <c r="HB205" s="134"/>
      <c r="HC205" s="134"/>
      <c r="HD205" s="134"/>
      <c r="HE205" s="134"/>
      <c r="HF205" s="134"/>
      <c r="HG205" s="134"/>
      <c r="HH205" s="134"/>
      <c r="HI205" s="134"/>
      <c r="HJ205" s="134"/>
      <c r="HK205" s="134"/>
      <c r="HL205" s="134"/>
      <c r="HM205" s="134"/>
      <c r="HN205" s="134"/>
      <c r="HO205" s="134"/>
      <c r="HP205" s="134"/>
      <c r="HQ205" s="134"/>
      <c r="HR205" s="134"/>
      <c r="HS205" s="134"/>
      <c r="HT205" s="134"/>
      <c r="HU205" s="134"/>
      <c r="HV205" s="134"/>
      <c r="HW205" s="134"/>
      <c r="HX205" s="134"/>
      <c r="HY205" s="134"/>
      <c r="HZ205" s="134"/>
      <c r="IA205" s="134"/>
      <c r="IB205" s="134"/>
      <c r="IC205" s="134"/>
      <c r="ID205" s="134"/>
      <c r="IE205" s="134"/>
      <c r="IF205" s="134"/>
      <c r="IG205" s="134"/>
      <c r="IH205" s="134"/>
      <c r="II205" s="134"/>
      <c r="IJ205" s="134"/>
      <c r="IK205" s="134"/>
      <c r="IL205" s="134"/>
      <c r="IM205" s="134"/>
      <c r="IN205" s="134"/>
      <c r="IO205" s="134"/>
      <c r="IP205" s="134"/>
      <c r="IQ205" s="134"/>
      <c r="IR205" s="134"/>
      <c r="IS205" s="134"/>
      <c r="IT205" s="134"/>
      <c r="IU205" s="134"/>
    </row>
    <row r="206" spans="1:255" ht="64.5" customHeight="1" x14ac:dyDescent="0.2">
      <c r="A206" s="236" t="str">
        <f>'HECVAT - Full'!A206</f>
        <v>MAPP-01</v>
      </c>
      <c r="B206" s="236" t="str">
        <f>VLOOKUP(A206,'HECVAT - Full'!A$24:B$312,2,FALSE)</f>
        <v>On which mobile operating systems is your software or service supported?</v>
      </c>
      <c r="C206" s="237" t="s">
        <v>2901</v>
      </c>
      <c r="D206" s="237" t="s">
        <v>2902</v>
      </c>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K206" s="134"/>
      <c r="CL206" s="134"/>
      <c r="CM206" s="134"/>
      <c r="CN206" s="134"/>
      <c r="CO206" s="134"/>
      <c r="CP206" s="134"/>
      <c r="CQ206" s="134"/>
      <c r="CR206" s="134"/>
      <c r="CS206" s="134"/>
      <c r="CT206" s="134"/>
      <c r="CU206" s="134"/>
      <c r="CV206" s="134"/>
      <c r="CW206" s="134"/>
      <c r="CX206" s="134"/>
      <c r="CY206" s="134"/>
      <c r="CZ206" s="134"/>
      <c r="DA206" s="134"/>
      <c r="DB206" s="134"/>
      <c r="DC206" s="134"/>
      <c r="DD206" s="134"/>
      <c r="DE206" s="134"/>
      <c r="DF206" s="134"/>
      <c r="DG206" s="134"/>
      <c r="DH206" s="134"/>
      <c r="DI206" s="134"/>
      <c r="DJ206" s="134"/>
      <c r="DK206" s="134"/>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c r="EG206" s="134"/>
      <c r="EH206" s="134"/>
      <c r="EI206" s="134"/>
      <c r="EJ206" s="134"/>
      <c r="EK206" s="134"/>
      <c r="EL206" s="134"/>
      <c r="EM206" s="134"/>
      <c r="EN206" s="134"/>
      <c r="EO206" s="134"/>
      <c r="EP206" s="134"/>
      <c r="EQ206" s="134"/>
      <c r="ER206" s="134"/>
      <c r="ES206" s="134"/>
      <c r="ET206" s="134"/>
      <c r="EU206" s="134"/>
      <c r="EV206" s="134"/>
      <c r="EW206" s="134"/>
      <c r="EX206" s="134"/>
      <c r="EY206" s="134"/>
      <c r="EZ206" s="134"/>
      <c r="FA206" s="134"/>
      <c r="FB206" s="134"/>
      <c r="FC206" s="134"/>
      <c r="FD206" s="134"/>
      <c r="FE206" s="134"/>
      <c r="FF206" s="134"/>
      <c r="FG206" s="134"/>
      <c r="FH206" s="134"/>
      <c r="FI206" s="134"/>
      <c r="FJ206" s="134"/>
      <c r="FK206" s="134"/>
      <c r="FL206" s="134"/>
      <c r="FM206" s="134"/>
      <c r="FN206" s="134"/>
      <c r="FO206" s="134"/>
      <c r="FP206" s="134"/>
      <c r="FQ206" s="134"/>
      <c r="FR206" s="134"/>
      <c r="FS206" s="134"/>
      <c r="FT206" s="134"/>
      <c r="FU206" s="134"/>
      <c r="FV206" s="134"/>
      <c r="FW206" s="134"/>
      <c r="FX206" s="134"/>
      <c r="FY206" s="134"/>
      <c r="FZ206" s="134"/>
      <c r="GA206" s="134"/>
      <c r="GB206" s="134"/>
      <c r="GC206" s="134"/>
      <c r="GD206" s="134"/>
      <c r="GE206" s="134"/>
      <c r="GF206" s="134"/>
      <c r="GG206" s="134"/>
      <c r="GH206" s="134"/>
      <c r="GI206" s="134"/>
      <c r="GJ206" s="134"/>
      <c r="GK206" s="134"/>
      <c r="GL206" s="134"/>
      <c r="GM206" s="134"/>
      <c r="GN206" s="134"/>
      <c r="GO206" s="134"/>
      <c r="GP206" s="134"/>
      <c r="GQ206" s="134"/>
      <c r="GR206" s="134"/>
      <c r="GS206" s="134"/>
      <c r="GT206" s="134"/>
      <c r="GU206" s="134"/>
      <c r="GV206" s="134"/>
      <c r="GW206" s="134"/>
      <c r="GX206" s="134"/>
      <c r="GY206" s="134"/>
      <c r="GZ206" s="134"/>
      <c r="HA206" s="134"/>
      <c r="HB206" s="134"/>
      <c r="HC206" s="134"/>
      <c r="HD206" s="134"/>
      <c r="HE206" s="134"/>
      <c r="HF206" s="134"/>
      <c r="HG206" s="134"/>
      <c r="HH206" s="134"/>
      <c r="HI206" s="134"/>
      <c r="HJ206" s="134"/>
      <c r="HK206" s="134"/>
      <c r="HL206" s="134"/>
      <c r="HM206" s="134"/>
      <c r="HN206" s="134"/>
      <c r="HO206" s="134"/>
      <c r="HP206" s="134"/>
      <c r="HQ206" s="134"/>
      <c r="HR206" s="134"/>
      <c r="HS206" s="134"/>
      <c r="HT206" s="134"/>
      <c r="HU206" s="134"/>
      <c r="HV206" s="134"/>
      <c r="HW206" s="134"/>
      <c r="HX206" s="134"/>
      <c r="HY206" s="134"/>
      <c r="HZ206" s="134"/>
      <c r="IA206" s="134"/>
      <c r="IB206" s="134"/>
      <c r="IC206" s="134"/>
      <c r="ID206" s="134"/>
      <c r="IE206" s="134"/>
      <c r="IF206" s="134"/>
      <c r="IG206" s="134"/>
      <c r="IH206" s="134"/>
      <c r="II206" s="134"/>
      <c r="IJ206" s="134"/>
      <c r="IK206" s="134"/>
      <c r="IL206" s="134"/>
      <c r="IM206" s="134"/>
      <c r="IN206" s="134"/>
      <c r="IO206" s="134"/>
      <c r="IP206" s="134"/>
      <c r="IQ206" s="134"/>
      <c r="IR206" s="134"/>
      <c r="IS206" s="134"/>
      <c r="IT206" s="134"/>
      <c r="IU206" s="134"/>
    </row>
    <row r="207" spans="1:255" ht="82.5" customHeight="1" x14ac:dyDescent="0.2">
      <c r="A207" s="236" t="str">
        <f>'HECVAT - Full'!A207</f>
        <v>MAPP-02</v>
      </c>
      <c r="B207" s="236" t="str">
        <f>VLOOKUP(A207,'HECVAT - Full'!A$24:B$312,2,FALSE)</f>
        <v>Describe or provide a reference to the application's architecture and functionality.</v>
      </c>
      <c r="C207" s="237" t="s">
        <v>2903</v>
      </c>
      <c r="D207" s="237" t="s">
        <v>2904</v>
      </c>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34"/>
      <c r="BQ207" s="134"/>
      <c r="BR207" s="134"/>
      <c r="BS207" s="134"/>
      <c r="BT207" s="134"/>
      <c r="BU207" s="134"/>
      <c r="BV207" s="134"/>
      <c r="BW207" s="134"/>
      <c r="BX207" s="134"/>
      <c r="BY207" s="134"/>
      <c r="BZ207" s="134"/>
      <c r="CA207" s="134"/>
      <c r="CB207" s="134"/>
      <c r="CC207" s="134"/>
      <c r="CD207" s="134"/>
      <c r="CE207" s="134"/>
      <c r="CF207" s="134"/>
      <c r="CG207" s="134"/>
      <c r="CH207" s="134"/>
      <c r="CI207" s="134"/>
      <c r="CJ207" s="134"/>
      <c r="CK207" s="134"/>
      <c r="CL207" s="134"/>
      <c r="CM207" s="134"/>
      <c r="CN207" s="134"/>
      <c r="CO207" s="134"/>
      <c r="CP207" s="134"/>
      <c r="CQ207" s="134"/>
      <c r="CR207" s="134"/>
      <c r="CS207" s="134"/>
      <c r="CT207" s="134"/>
      <c r="CU207" s="134"/>
      <c r="CV207" s="134"/>
      <c r="CW207" s="134"/>
      <c r="CX207" s="134"/>
      <c r="CY207" s="134"/>
      <c r="CZ207" s="134"/>
      <c r="DA207" s="134"/>
      <c r="DB207" s="134"/>
      <c r="DC207" s="134"/>
      <c r="DD207" s="134"/>
      <c r="DE207" s="134"/>
      <c r="DF207" s="134"/>
      <c r="DG207" s="134"/>
      <c r="DH207" s="134"/>
      <c r="DI207" s="134"/>
      <c r="DJ207" s="134"/>
      <c r="DK207" s="134"/>
      <c r="DL207" s="134"/>
      <c r="DM207" s="134"/>
      <c r="DN207" s="134"/>
      <c r="DO207" s="134"/>
      <c r="DP207" s="134"/>
      <c r="DQ207" s="134"/>
      <c r="DR207" s="134"/>
      <c r="DS207" s="134"/>
      <c r="DT207" s="134"/>
      <c r="DU207" s="134"/>
      <c r="DV207" s="134"/>
      <c r="DW207" s="134"/>
      <c r="DX207" s="134"/>
      <c r="DY207" s="134"/>
      <c r="DZ207" s="134"/>
      <c r="EA207" s="134"/>
      <c r="EB207" s="134"/>
      <c r="EC207" s="134"/>
      <c r="ED207" s="134"/>
      <c r="EE207" s="134"/>
      <c r="EF207" s="134"/>
      <c r="EG207" s="134"/>
      <c r="EH207" s="134"/>
      <c r="EI207" s="134"/>
      <c r="EJ207" s="134"/>
      <c r="EK207" s="134"/>
      <c r="EL207" s="134"/>
      <c r="EM207" s="134"/>
      <c r="EN207" s="134"/>
      <c r="EO207" s="134"/>
      <c r="EP207" s="134"/>
      <c r="EQ207" s="134"/>
      <c r="ER207" s="134"/>
      <c r="ES207" s="134"/>
      <c r="ET207" s="134"/>
      <c r="EU207" s="134"/>
      <c r="EV207" s="134"/>
      <c r="EW207" s="134"/>
      <c r="EX207" s="134"/>
      <c r="EY207" s="134"/>
      <c r="EZ207" s="134"/>
      <c r="FA207" s="134"/>
      <c r="FB207" s="134"/>
      <c r="FC207" s="134"/>
      <c r="FD207" s="134"/>
      <c r="FE207" s="134"/>
      <c r="FF207" s="134"/>
      <c r="FG207" s="134"/>
      <c r="FH207" s="134"/>
      <c r="FI207" s="134"/>
      <c r="FJ207" s="134"/>
      <c r="FK207" s="134"/>
      <c r="FL207" s="134"/>
      <c r="FM207" s="134"/>
      <c r="FN207" s="134"/>
      <c r="FO207" s="134"/>
      <c r="FP207" s="134"/>
      <c r="FQ207" s="134"/>
      <c r="FR207" s="134"/>
      <c r="FS207" s="134"/>
      <c r="FT207" s="134"/>
      <c r="FU207" s="134"/>
      <c r="FV207" s="134"/>
      <c r="FW207" s="134"/>
      <c r="FX207" s="134"/>
      <c r="FY207" s="134"/>
      <c r="FZ207" s="134"/>
      <c r="GA207" s="134"/>
      <c r="GB207" s="134"/>
      <c r="GC207" s="134"/>
      <c r="GD207" s="134"/>
      <c r="GE207" s="134"/>
      <c r="GF207" s="134"/>
      <c r="GG207" s="134"/>
      <c r="GH207" s="134"/>
      <c r="GI207" s="134"/>
      <c r="GJ207" s="134"/>
      <c r="GK207" s="134"/>
      <c r="GL207" s="134"/>
      <c r="GM207" s="134"/>
      <c r="GN207" s="134"/>
      <c r="GO207" s="134"/>
      <c r="GP207" s="134"/>
      <c r="GQ207" s="134"/>
      <c r="GR207" s="134"/>
      <c r="GS207" s="134"/>
      <c r="GT207" s="134"/>
      <c r="GU207" s="134"/>
      <c r="GV207" s="134"/>
      <c r="GW207" s="134"/>
      <c r="GX207" s="134"/>
      <c r="GY207" s="134"/>
      <c r="GZ207" s="134"/>
      <c r="HA207" s="134"/>
      <c r="HB207" s="134"/>
      <c r="HC207" s="134"/>
      <c r="HD207" s="134"/>
      <c r="HE207" s="134"/>
      <c r="HF207" s="134"/>
      <c r="HG207" s="134"/>
      <c r="HH207" s="134"/>
      <c r="HI207" s="134"/>
      <c r="HJ207" s="134"/>
      <c r="HK207" s="134"/>
      <c r="HL207" s="134"/>
      <c r="HM207" s="134"/>
      <c r="HN207" s="134"/>
      <c r="HO207" s="134"/>
      <c r="HP207" s="134"/>
      <c r="HQ207" s="134"/>
      <c r="HR207" s="134"/>
      <c r="HS207" s="134"/>
      <c r="HT207" s="134"/>
      <c r="HU207" s="134"/>
      <c r="HV207" s="134"/>
      <c r="HW207" s="134"/>
      <c r="HX207" s="134"/>
      <c r="HY207" s="134"/>
      <c r="HZ207" s="134"/>
      <c r="IA207" s="134"/>
      <c r="IB207" s="134"/>
      <c r="IC207" s="134"/>
      <c r="ID207" s="134"/>
      <c r="IE207" s="134"/>
      <c r="IF207" s="134"/>
      <c r="IG207" s="134"/>
      <c r="IH207" s="134"/>
      <c r="II207" s="134"/>
      <c r="IJ207" s="134"/>
      <c r="IK207" s="134"/>
      <c r="IL207" s="134"/>
      <c r="IM207" s="134"/>
      <c r="IN207" s="134"/>
      <c r="IO207" s="134"/>
      <c r="IP207" s="134"/>
      <c r="IQ207" s="134"/>
      <c r="IR207" s="134"/>
      <c r="IS207" s="134"/>
      <c r="IT207" s="134"/>
      <c r="IU207" s="134"/>
    </row>
    <row r="208" spans="1:255" ht="72.75" customHeight="1" x14ac:dyDescent="0.2">
      <c r="A208" s="236" t="str">
        <f>'HECVAT - Full'!A208</f>
        <v>MAPP-03</v>
      </c>
      <c r="B208" s="236" t="str">
        <f>VLOOKUP(A208,'HECVAT - Full'!A$24:B$312,2,FALSE)</f>
        <v>Is the application available from a trusted source (e.g., iTunes App Store, Android Market, BB World)?</v>
      </c>
      <c r="C208" s="237" t="s">
        <v>2905</v>
      </c>
      <c r="D208" s="247" t="s">
        <v>2906</v>
      </c>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4"/>
      <c r="BQ208" s="134"/>
      <c r="BR208" s="134"/>
      <c r="BS208" s="134"/>
      <c r="BT208" s="134"/>
      <c r="BU208" s="134"/>
      <c r="BV208" s="134"/>
      <c r="BW208" s="134"/>
      <c r="BX208" s="134"/>
      <c r="BY208" s="134"/>
      <c r="BZ208" s="134"/>
      <c r="CA208" s="134"/>
      <c r="CB208" s="134"/>
      <c r="CC208" s="134"/>
      <c r="CD208" s="134"/>
      <c r="CE208" s="134"/>
      <c r="CF208" s="134"/>
      <c r="CG208" s="134"/>
      <c r="CH208" s="134"/>
      <c r="CI208" s="134"/>
      <c r="CJ208" s="134"/>
      <c r="CK208" s="134"/>
      <c r="CL208" s="134"/>
      <c r="CM208" s="134"/>
      <c r="CN208" s="134"/>
      <c r="CO208" s="134"/>
      <c r="CP208" s="134"/>
      <c r="CQ208" s="134"/>
      <c r="CR208" s="134"/>
      <c r="CS208" s="134"/>
      <c r="CT208" s="134"/>
      <c r="CU208" s="134"/>
      <c r="CV208" s="134"/>
      <c r="CW208" s="134"/>
      <c r="CX208" s="134"/>
      <c r="CY208" s="134"/>
      <c r="CZ208" s="134"/>
      <c r="DA208" s="134"/>
      <c r="DB208" s="134"/>
      <c r="DC208" s="134"/>
      <c r="DD208" s="134"/>
      <c r="DE208" s="134"/>
      <c r="DF208" s="134"/>
      <c r="DG208" s="134"/>
      <c r="DH208" s="134"/>
      <c r="DI208" s="134"/>
      <c r="DJ208" s="134"/>
      <c r="DK208" s="134"/>
      <c r="DL208" s="134"/>
      <c r="DM208" s="134"/>
      <c r="DN208" s="134"/>
      <c r="DO208" s="134"/>
      <c r="DP208" s="134"/>
      <c r="DQ208" s="134"/>
      <c r="DR208" s="134"/>
      <c r="DS208" s="134"/>
      <c r="DT208" s="134"/>
      <c r="DU208" s="134"/>
      <c r="DV208" s="134"/>
      <c r="DW208" s="134"/>
      <c r="DX208" s="134"/>
      <c r="DY208" s="134"/>
      <c r="DZ208" s="134"/>
      <c r="EA208" s="134"/>
      <c r="EB208" s="134"/>
      <c r="EC208" s="134"/>
      <c r="ED208" s="134"/>
      <c r="EE208" s="134"/>
      <c r="EF208" s="134"/>
      <c r="EG208" s="134"/>
      <c r="EH208" s="134"/>
      <c r="EI208" s="134"/>
      <c r="EJ208" s="134"/>
      <c r="EK208" s="134"/>
      <c r="EL208" s="134"/>
      <c r="EM208" s="134"/>
      <c r="EN208" s="134"/>
      <c r="EO208" s="134"/>
      <c r="EP208" s="134"/>
      <c r="EQ208" s="134"/>
      <c r="ER208" s="134"/>
      <c r="ES208" s="134"/>
      <c r="ET208" s="134"/>
      <c r="EU208" s="134"/>
      <c r="EV208" s="134"/>
      <c r="EW208" s="134"/>
      <c r="EX208" s="134"/>
      <c r="EY208" s="134"/>
      <c r="EZ208" s="134"/>
      <c r="FA208" s="134"/>
      <c r="FB208" s="134"/>
      <c r="FC208" s="134"/>
      <c r="FD208" s="134"/>
      <c r="FE208" s="134"/>
      <c r="FF208" s="134"/>
      <c r="FG208" s="134"/>
      <c r="FH208" s="134"/>
      <c r="FI208" s="134"/>
      <c r="FJ208" s="134"/>
      <c r="FK208" s="134"/>
      <c r="FL208" s="134"/>
      <c r="FM208" s="134"/>
      <c r="FN208" s="134"/>
      <c r="FO208" s="134"/>
      <c r="FP208" s="134"/>
      <c r="FQ208" s="134"/>
      <c r="FR208" s="134"/>
      <c r="FS208" s="134"/>
      <c r="FT208" s="134"/>
      <c r="FU208" s="134"/>
      <c r="FV208" s="134"/>
      <c r="FW208" s="134"/>
      <c r="FX208" s="134"/>
      <c r="FY208" s="134"/>
      <c r="FZ208" s="134"/>
      <c r="GA208" s="134"/>
      <c r="GB208" s="134"/>
      <c r="GC208" s="134"/>
      <c r="GD208" s="134"/>
      <c r="GE208" s="134"/>
      <c r="GF208" s="134"/>
      <c r="GG208" s="134"/>
      <c r="GH208" s="134"/>
      <c r="GI208" s="134"/>
      <c r="GJ208" s="134"/>
      <c r="GK208" s="134"/>
      <c r="GL208" s="134"/>
      <c r="GM208" s="134"/>
      <c r="GN208" s="134"/>
      <c r="GO208" s="134"/>
      <c r="GP208" s="134"/>
      <c r="GQ208" s="134"/>
      <c r="GR208" s="134"/>
      <c r="GS208" s="134"/>
      <c r="GT208" s="134"/>
      <c r="GU208" s="134"/>
      <c r="GV208" s="134"/>
      <c r="GW208" s="134"/>
      <c r="GX208" s="134"/>
      <c r="GY208" s="134"/>
      <c r="GZ208" s="134"/>
      <c r="HA208" s="134"/>
      <c r="HB208" s="134"/>
      <c r="HC208" s="134"/>
      <c r="HD208" s="134"/>
      <c r="HE208" s="134"/>
      <c r="HF208" s="134"/>
      <c r="HG208" s="134"/>
      <c r="HH208" s="134"/>
      <c r="HI208" s="134"/>
      <c r="HJ208" s="134"/>
      <c r="HK208" s="134"/>
      <c r="HL208" s="134"/>
      <c r="HM208" s="134"/>
      <c r="HN208" s="134"/>
      <c r="HO208" s="134"/>
      <c r="HP208" s="134"/>
      <c r="HQ208" s="134"/>
      <c r="HR208" s="134"/>
      <c r="HS208" s="134"/>
      <c r="HT208" s="134"/>
      <c r="HU208" s="134"/>
      <c r="HV208" s="134"/>
      <c r="HW208" s="134"/>
      <c r="HX208" s="134"/>
      <c r="HY208" s="134"/>
      <c r="HZ208" s="134"/>
      <c r="IA208" s="134"/>
      <c r="IB208" s="134"/>
      <c r="IC208" s="134"/>
      <c r="ID208" s="134"/>
      <c r="IE208" s="134"/>
      <c r="IF208" s="134"/>
      <c r="IG208" s="134"/>
      <c r="IH208" s="134"/>
      <c r="II208" s="134"/>
      <c r="IJ208" s="134"/>
      <c r="IK208" s="134"/>
      <c r="IL208" s="134"/>
      <c r="IM208" s="134"/>
      <c r="IN208" s="134"/>
      <c r="IO208" s="134"/>
      <c r="IP208" s="134"/>
      <c r="IQ208" s="134"/>
      <c r="IR208" s="134"/>
      <c r="IS208" s="134"/>
      <c r="IT208" s="134"/>
      <c r="IU208" s="134"/>
    </row>
    <row r="209" spans="1:255" ht="60" x14ac:dyDescent="0.2">
      <c r="A209" s="236" t="str">
        <f>'HECVAT - Full'!A209</f>
        <v>MAPP-04</v>
      </c>
      <c r="B209" s="236" t="str">
        <f>VLOOKUP(A209,'HECVAT - Full'!A$24:B$312,2,FALSE)</f>
        <v>Does the application store, process, or transmit critical data?</v>
      </c>
      <c r="C209" s="237" t="s">
        <v>2907</v>
      </c>
      <c r="D209" s="247" t="s">
        <v>2908</v>
      </c>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34"/>
      <c r="BR209" s="134"/>
      <c r="BS209" s="134"/>
      <c r="BT209" s="134"/>
      <c r="BU209" s="134"/>
      <c r="BV209" s="134"/>
      <c r="BW209" s="134"/>
      <c r="BX209" s="134"/>
      <c r="BY209" s="134"/>
      <c r="BZ209" s="134"/>
      <c r="CA209" s="134"/>
      <c r="CB209" s="134"/>
      <c r="CC209" s="134"/>
      <c r="CD209" s="134"/>
      <c r="CE209" s="134"/>
      <c r="CF209" s="134"/>
      <c r="CG209" s="134"/>
      <c r="CH209" s="134"/>
      <c r="CI209" s="134"/>
      <c r="CJ209" s="134"/>
      <c r="CK209" s="134"/>
      <c r="CL209" s="134"/>
      <c r="CM209" s="134"/>
      <c r="CN209" s="134"/>
      <c r="CO209" s="134"/>
      <c r="CP209" s="134"/>
      <c r="CQ209" s="134"/>
      <c r="CR209" s="134"/>
      <c r="CS209" s="134"/>
      <c r="CT209" s="134"/>
      <c r="CU209" s="134"/>
      <c r="CV209" s="134"/>
      <c r="CW209" s="134"/>
      <c r="CX209" s="134"/>
      <c r="CY209" s="134"/>
      <c r="CZ209" s="134"/>
      <c r="DA209" s="134"/>
      <c r="DB209" s="134"/>
      <c r="DC209" s="134"/>
      <c r="DD209" s="134"/>
      <c r="DE209" s="134"/>
      <c r="DF209" s="134"/>
      <c r="DG209" s="134"/>
      <c r="DH209" s="134"/>
      <c r="DI209" s="134"/>
      <c r="DJ209" s="134"/>
      <c r="DK209" s="134"/>
      <c r="DL209" s="134"/>
      <c r="DM209" s="134"/>
      <c r="DN209" s="134"/>
      <c r="DO209" s="134"/>
      <c r="DP209" s="134"/>
      <c r="DQ209" s="134"/>
      <c r="DR209" s="134"/>
      <c r="DS209" s="134"/>
      <c r="DT209" s="134"/>
      <c r="DU209" s="134"/>
      <c r="DV209" s="134"/>
      <c r="DW209" s="134"/>
      <c r="DX209" s="134"/>
      <c r="DY209" s="134"/>
      <c r="DZ209" s="134"/>
      <c r="EA209" s="134"/>
      <c r="EB209" s="134"/>
      <c r="EC209" s="134"/>
      <c r="ED209" s="134"/>
      <c r="EE209" s="134"/>
      <c r="EF209" s="134"/>
      <c r="EG209" s="134"/>
      <c r="EH209" s="134"/>
      <c r="EI209" s="134"/>
      <c r="EJ209" s="134"/>
      <c r="EK209" s="134"/>
      <c r="EL209" s="134"/>
      <c r="EM209" s="134"/>
      <c r="EN209" s="134"/>
      <c r="EO209" s="134"/>
      <c r="EP209" s="134"/>
      <c r="EQ209" s="134"/>
      <c r="ER209" s="134"/>
      <c r="ES209" s="134"/>
      <c r="ET209" s="134"/>
      <c r="EU209" s="134"/>
      <c r="EV209" s="134"/>
      <c r="EW209" s="134"/>
      <c r="EX209" s="134"/>
      <c r="EY209" s="134"/>
      <c r="EZ209" s="134"/>
      <c r="FA209" s="134"/>
      <c r="FB209" s="134"/>
      <c r="FC209" s="134"/>
      <c r="FD209" s="134"/>
      <c r="FE209" s="134"/>
      <c r="FF209" s="134"/>
      <c r="FG209" s="134"/>
      <c r="FH209" s="134"/>
      <c r="FI209" s="134"/>
      <c r="FJ209" s="134"/>
      <c r="FK209" s="134"/>
      <c r="FL209" s="134"/>
      <c r="FM209" s="134"/>
      <c r="FN209" s="134"/>
      <c r="FO209" s="134"/>
      <c r="FP209" s="134"/>
      <c r="FQ209" s="134"/>
      <c r="FR209" s="134"/>
      <c r="FS209" s="134"/>
      <c r="FT209" s="134"/>
      <c r="FU209" s="134"/>
      <c r="FV209" s="134"/>
      <c r="FW209" s="134"/>
      <c r="FX209" s="134"/>
      <c r="FY209" s="134"/>
      <c r="FZ209" s="134"/>
      <c r="GA209" s="134"/>
      <c r="GB209" s="134"/>
      <c r="GC209" s="134"/>
      <c r="GD209" s="134"/>
      <c r="GE209" s="134"/>
      <c r="GF209" s="134"/>
      <c r="GG209" s="134"/>
      <c r="GH209" s="134"/>
      <c r="GI209" s="134"/>
      <c r="GJ209" s="134"/>
      <c r="GK209" s="134"/>
      <c r="GL209" s="134"/>
      <c r="GM209" s="134"/>
      <c r="GN209" s="134"/>
      <c r="GO209" s="134"/>
      <c r="GP209" s="134"/>
      <c r="GQ209" s="134"/>
      <c r="GR209" s="134"/>
      <c r="GS209" s="134"/>
      <c r="GT209" s="134"/>
      <c r="GU209" s="134"/>
      <c r="GV209" s="134"/>
      <c r="GW209" s="134"/>
      <c r="GX209" s="134"/>
      <c r="GY209" s="134"/>
      <c r="GZ209" s="134"/>
      <c r="HA209" s="134"/>
      <c r="HB209" s="134"/>
      <c r="HC209" s="134"/>
      <c r="HD209" s="134"/>
      <c r="HE209" s="134"/>
      <c r="HF209" s="134"/>
      <c r="HG209" s="134"/>
      <c r="HH209" s="134"/>
      <c r="HI209" s="134"/>
      <c r="HJ209" s="134"/>
      <c r="HK209" s="134"/>
      <c r="HL209" s="134"/>
      <c r="HM209" s="134"/>
      <c r="HN209" s="134"/>
      <c r="HO209" s="134"/>
      <c r="HP209" s="134"/>
      <c r="HQ209" s="134"/>
      <c r="HR209" s="134"/>
      <c r="HS209" s="134"/>
      <c r="HT209" s="134"/>
      <c r="HU209" s="134"/>
      <c r="HV209" s="134"/>
      <c r="HW209" s="134"/>
      <c r="HX209" s="134"/>
      <c r="HY209" s="134"/>
      <c r="HZ209" s="134"/>
      <c r="IA209" s="134"/>
      <c r="IB209" s="134"/>
      <c r="IC209" s="134"/>
      <c r="ID209" s="134"/>
      <c r="IE209" s="134"/>
      <c r="IF209" s="134"/>
      <c r="IG209" s="134"/>
      <c r="IH209" s="134"/>
      <c r="II209" s="134"/>
      <c r="IJ209" s="134"/>
      <c r="IK209" s="134"/>
      <c r="IL209" s="134"/>
      <c r="IM209" s="134"/>
      <c r="IN209" s="134"/>
      <c r="IO209" s="134"/>
      <c r="IP209" s="134"/>
      <c r="IQ209" s="134"/>
      <c r="IR209" s="134"/>
      <c r="IS209" s="134"/>
      <c r="IT209" s="134"/>
      <c r="IU209" s="134"/>
    </row>
    <row r="210" spans="1:255" ht="64.5" customHeight="1" x14ac:dyDescent="0.2">
      <c r="A210" s="236" t="str">
        <f>'HECVAT - Full'!A210</f>
        <v>MAPP-05</v>
      </c>
      <c r="B210" s="236" t="str">
        <f>VLOOKUP(A210,'HECVAT - Full'!A$24:B$312,2,FALSE)</f>
        <v>Is Institution's data encrypted in transport?</v>
      </c>
      <c r="C210" s="239" t="s">
        <v>2909</v>
      </c>
      <c r="D210" s="244" t="s">
        <v>2910</v>
      </c>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34"/>
      <c r="BR210" s="134"/>
      <c r="BS210" s="134"/>
      <c r="BT210" s="134"/>
      <c r="BU210" s="134"/>
      <c r="BV210" s="134"/>
      <c r="BW210" s="134"/>
      <c r="BX210" s="134"/>
      <c r="BY210" s="134"/>
      <c r="BZ210" s="134"/>
      <c r="CA210" s="134"/>
      <c r="CB210" s="134"/>
      <c r="CC210" s="134"/>
      <c r="CD210" s="134"/>
      <c r="CE210" s="134"/>
      <c r="CF210" s="134"/>
      <c r="CG210" s="134"/>
      <c r="CH210" s="134"/>
      <c r="CI210" s="134"/>
      <c r="CJ210" s="134"/>
      <c r="CK210" s="134"/>
      <c r="CL210" s="134"/>
      <c r="CM210" s="134"/>
      <c r="CN210" s="134"/>
      <c r="CO210" s="134"/>
      <c r="CP210" s="134"/>
      <c r="CQ210" s="134"/>
      <c r="CR210" s="134"/>
      <c r="CS210" s="134"/>
      <c r="CT210" s="134"/>
      <c r="CU210" s="134"/>
      <c r="CV210" s="134"/>
      <c r="CW210" s="134"/>
      <c r="CX210" s="134"/>
      <c r="CY210" s="134"/>
      <c r="CZ210" s="134"/>
      <c r="DA210" s="134"/>
      <c r="DB210" s="134"/>
      <c r="DC210" s="134"/>
      <c r="DD210" s="134"/>
      <c r="DE210" s="134"/>
      <c r="DF210" s="134"/>
      <c r="DG210" s="134"/>
      <c r="DH210" s="134"/>
      <c r="DI210" s="134"/>
      <c r="DJ210" s="134"/>
      <c r="DK210" s="134"/>
      <c r="DL210" s="134"/>
      <c r="DM210" s="134"/>
      <c r="DN210" s="134"/>
      <c r="DO210" s="134"/>
      <c r="DP210" s="134"/>
      <c r="DQ210" s="134"/>
      <c r="DR210" s="134"/>
      <c r="DS210" s="134"/>
      <c r="DT210" s="134"/>
      <c r="DU210" s="134"/>
      <c r="DV210" s="134"/>
      <c r="DW210" s="134"/>
      <c r="DX210" s="134"/>
      <c r="DY210" s="134"/>
      <c r="DZ210" s="134"/>
      <c r="EA210" s="134"/>
      <c r="EB210" s="134"/>
      <c r="EC210" s="134"/>
      <c r="ED210" s="134"/>
      <c r="EE210" s="134"/>
      <c r="EF210" s="134"/>
      <c r="EG210" s="134"/>
      <c r="EH210" s="134"/>
      <c r="EI210" s="134"/>
      <c r="EJ210" s="134"/>
      <c r="EK210" s="134"/>
      <c r="EL210" s="134"/>
      <c r="EM210" s="134"/>
      <c r="EN210" s="134"/>
      <c r="EO210" s="134"/>
      <c r="EP210" s="134"/>
      <c r="EQ210" s="134"/>
      <c r="ER210" s="134"/>
      <c r="ES210" s="134"/>
      <c r="ET210" s="134"/>
      <c r="EU210" s="134"/>
      <c r="EV210" s="134"/>
      <c r="EW210" s="134"/>
      <c r="EX210" s="134"/>
      <c r="EY210" s="134"/>
      <c r="EZ210" s="134"/>
      <c r="FA210" s="134"/>
      <c r="FB210" s="134"/>
      <c r="FC210" s="134"/>
      <c r="FD210" s="134"/>
      <c r="FE210" s="134"/>
      <c r="FF210" s="134"/>
      <c r="FG210" s="134"/>
      <c r="FH210" s="134"/>
      <c r="FI210" s="134"/>
      <c r="FJ210" s="134"/>
      <c r="FK210" s="134"/>
      <c r="FL210" s="134"/>
      <c r="FM210" s="134"/>
      <c r="FN210" s="134"/>
      <c r="FO210" s="134"/>
      <c r="FP210" s="134"/>
      <c r="FQ210" s="134"/>
      <c r="FR210" s="134"/>
      <c r="FS210" s="134"/>
      <c r="FT210" s="134"/>
      <c r="FU210" s="134"/>
      <c r="FV210" s="134"/>
      <c r="FW210" s="134"/>
      <c r="FX210" s="134"/>
      <c r="FY210" s="134"/>
      <c r="FZ210" s="134"/>
      <c r="GA210" s="134"/>
      <c r="GB210" s="134"/>
      <c r="GC210" s="134"/>
      <c r="GD210" s="134"/>
      <c r="GE210" s="134"/>
      <c r="GF210" s="134"/>
      <c r="GG210" s="134"/>
      <c r="GH210" s="134"/>
      <c r="GI210" s="134"/>
      <c r="GJ210" s="134"/>
      <c r="GK210" s="134"/>
      <c r="GL210" s="134"/>
      <c r="GM210" s="134"/>
      <c r="GN210" s="134"/>
      <c r="GO210" s="134"/>
      <c r="GP210" s="134"/>
      <c r="GQ210" s="134"/>
      <c r="GR210" s="134"/>
      <c r="GS210" s="134"/>
      <c r="GT210" s="134"/>
      <c r="GU210" s="134"/>
      <c r="GV210" s="134"/>
      <c r="GW210" s="134"/>
      <c r="GX210" s="134"/>
      <c r="GY210" s="134"/>
      <c r="GZ210" s="134"/>
      <c r="HA210" s="134"/>
      <c r="HB210" s="134"/>
      <c r="HC210" s="134"/>
      <c r="HD210" s="134"/>
      <c r="HE210" s="134"/>
      <c r="HF210" s="134"/>
      <c r="HG210" s="134"/>
      <c r="HH210" s="134"/>
      <c r="HI210" s="134"/>
      <c r="HJ210" s="134"/>
      <c r="HK210" s="134"/>
      <c r="HL210" s="134"/>
      <c r="HM210" s="134"/>
      <c r="HN210" s="134"/>
      <c r="HO210" s="134"/>
      <c r="HP210" s="134"/>
      <c r="HQ210" s="134"/>
      <c r="HR210" s="134"/>
      <c r="HS210" s="134"/>
      <c r="HT210" s="134"/>
      <c r="HU210" s="134"/>
      <c r="HV210" s="134"/>
      <c r="HW210" s="134"/>
      <c r="HX210" s="134"/>
      <c r="HY210" s="134"/>
      <c r="HZ210" s="134"/>
      <c r="IA210" s="134"/>
      <c r="IB210" s="134"/>
      <c r="IC210" s="134"/>
      <c r="ID210" s="134"/>
      <c r="IE210" s="134"/>
      <c r="IF210" s="134"/>
      <c r="IG210" s="134"/>
      <c r="IH210" s="134"/>
      <c r="II210" s="134"/>
      <c r="IJ210" s="134"/>
      <c r="IK210" s="134"/>
      <c r="IL210" s="134"/>
      <c r="IM210" s="134"/>
      <c r="IN210" s="134"/>
      <c r="IO210" s="134"/>
      <c r="IP210" s="134"/>
      <c r="IQ210" s="134"/>
      <c r="IR210" s="134"/>
      <c r="IS210" s="134"/>
      <c r="IT210" s="134"/>
      <c r="IU210" s="134"/>
    </row>
    <row r="211" spans="1:255" ht="64.5" customHeight="1" x14ac:dyDescent="0.2">
      <c r="A211" s="236" t="str">
        <f>'HECVAT - Full'!A211</f>
        <v>MAPP-06</v>
      </c>
      <c r="B211" s="236" t="str">
        <f>VLOOKUP(A211,'HECVAT - Full'!A$24:B$312,2,FALSE)</f>
        <v>Is Institution's data encrypted in storage? (e.g. disk encryption, at-rest)</v>
      </c>
      <c r="C211" s="239" t="s">
        <v>2720</v>
      </c>
      <c r="D211" s="244" t="s">
        <v>2812</v>
      </c>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34"/>
      <c r="BQ211" s="134"/>
      <c r="BR211" s="134"/>
      <c r="BS211" s="134"/>
      <c r="BT211" s="134"/>
      <c r="BU211" s="134"/>
      <c r="BV211" s="134"/>
      <c r="BW211" s="134"/>
      <c r="BX211" s="134"/>
      <c r="BY211" s="134"/>
      <c r="BZ211" s="134"/>
      <c r="CA211" s="134"/>
      <c r="CB211" s="134"/>
      <c r="CC211" s="134"/>
      <c r="CD211" s="134"/>
      <c r="CE211" s="134"/>
      <c r="CF211" s="134"/>
      <c r="CG211" s="134"/>
      <c r="CH211" s="134"/>
      <c r="CI211" s="134"/>
      <c r="CJ211" s="134"/>
      <c r="CK211" s="134"/>
      <c r="CL211" s="134"/>
      <c r="CM211" s="134"/>
      <c r="CN211" s="134"/>
      <c r="CO211" s="134"/>
      <c r="CP211" s="134"/>
      <c r="CQ211" s="134"/>
      <c r="CR211" s="134"/>
      <c r="CS211" s="134"/>
      <c r="CT211" s="134"/>
      <c r="CU211" s="134"/>
      <c r="CV211" s="134"/>
      <c r="CW211" s="134"/>
      <c r="CX211" s="134"/>
      <c r="CY211" s="134"/>
      <c r="CZ211" s="134"/>
      <c r="DA211" s="134"/>
      <c r="DB211" s="134"/>
      <c r="DC211" s="134"/>
      <c r="DD211" s="134"/>
      <c r="DE211" s="134"/>
      <c r="DF211" s="134"/>
      <c r="DG211" s="134"/>
      <c r="DH211" s="134"/>
      <c r="DI211" s="134"/>
      <c r="DJ211" s="134"/>
      <c r="DK211" s="134"/>
      <c r="DL211" s="134"/>
      <c r="DM211" s="134"/>
      <c r="DN211" s="134"/>
      <c r="DO211" s="134"/>
      <c r="DP211" s="134"/>
      <c r="DQ211" s="134"/>
      <c r="DR211" s="134"/>
      <c r="DS211" s="134"/>
      <c r="DT211" s="134"/>
      <c r="DU211" s="134"/>
      <c r="DV211" s="134"/>
      <c r="DW211" s="134"/>
      <c r="DX211" s="134"/>
      <c r="DY211" s="134"/>
      <c r="DZ211" s="134"/>
      <c r="EA211" s="134"/>
      <c r="EB211" s="134"/>
      <c r="EC211" s="134"/>
      <c r="ED211" s="134"/>
      <c r="EE211" s="134"/>
      <c r="EF211" s="134"/>
      <c r="EG211" s="134"/>
      <c r="EH211" s="134"/>
      <c r="EI211" s="134"/>
      <c r="EJ211" s="134"/>
      <c r="EK211" s="134"/>
      <c r="EL211" s="134"/>
      <c r="EM211" s="134"/>
      <c r="EN211" s="134"/>
      <c r="EO211" s="134"/>
      <c r="EP211" s="134"/>
      <c r="EQ211" s="134"/>
      <c r="ER211" s="134"/>
      <c r="ES211" s="134"/>
      <c r="ET211" s="134"/>
      <c r="EU211" s="134"/>
      <c r="EV211" s="134"/>
      <c r="EW211" s="134"/>
      <c r="EX211" s="134"/>
      <c r="EY211" s="134"/>
      <c r="EZ211" s="134"/>
      <c r="FA211" s="134"/>
      <c r="FB211" s="134"/>
      <c r="FC211" s="134"/>
      <c r="FD211" s="134"/>
      <c r="FE211" s="134"/>
      <c r="FF211" s="134"/>
      <c r="FG211" s="134"/>
      <c r="FH211" s="134"/>
      <c r="FI211" s="134"/>
      <c r="FJ211" s="134"/>
      <c r="FK211" s="134"/>
      <c r="FL211" s="134"/>
      <c r="FM211" s="134"/>
      <c r="FN211" s="134"/>
      <c r="FO211" s="134"/>
      <c r="FP211" s="134"/>
      <c r="FQ211" s="134"/>
      <c r="FR211" s="134"/>
      <c r="FS211" s="134"/>
      <c r="FT211" s="134"/>
      <c r="FU211" s="134"/>
      <c r="FV211" s="134"/>
      <c r="FW211" s="134"/>
      <c r="FX211" s="134"/>
      <c r="FY211" s="134"/>
      <c r="FZ211" s="134"/>
      <c r="GA211" s="134"/>
      <c r="GB211" s="134"/>
      <c r="GC211" s="134"/>
      <c r="GD211" s="134"/>
      <c r="GE211" s="134"/>
      <c r="GF211" s="134"/>
      <c r="GG211" s="134"/>
      <c r="GH211" s="134"/>
      <c r="GI211" s="134"/>
      <c r="GJ211" s="134"/>
      <c r="GK211" s="134"/>
      <c r="GL211" s="134"/>
      <c r="GM211" s="134"/>
      <c r="GN211" s="134"/>
      <c r="GO211" s="134"/>
      <c r="GP211" s="134"/>
      <c r="GQ211" s="134"/>
      <c r="GR211" s="134"/>
      <c r="GS211" s="134"/>
      <c r="GT211" s="134"/>
      <c r="GU211" s="134"/>
      <c r="GV211" s="134"/>
      <c r="GW211" s="134"/>
      <c r="GX211" s="134"/>
      <c r="GY211" s="134"/>
      <c r="GZ211" s="134"/>
      <c r="HA211" s="134"/>
      <c r="HB211" s="134"/>
      <c r="HC211" s="134"/>
      <c r="HD211" s="134"/>
      <c r="HE211" s="134"/>
      <c r="HF211" s="134"/>
      <c r="HG211" s="134"/>
      <c r="HH211" s="134"/>
      <c r="HI211" s="134"/>
      <c r="HJ211" s="134"/>
      <c r="HK211" s="134"/>
      <c r="HL211" s="134"/>
      <c r="HM211" s="134"/>
      <c r="HN211" s="134"/>
      <c r="HO211" s="134"/>
      <c r="HP211" s="134"/>
      <c r="HQ211" s="134"/>
      <c r="HR211" s="134"/>
      <c r="HS211" s="134"/>
      <c r="HT211" s="134"/>
      <c r="HU211" s="134"/>
      <c r="HV211" s="134"/>
      <c r="HW211" s="134"/>
      <c r="HX211" s="134"/>
      <c r="HY211" s="134"/>
      <c r="HZ211" s="134"/>
      <c r="IA211" s="134"/>
      <c r="IB211" s="134"/>
      <c r="IC211" s="134"/>
      <c r="ID211" s="134"/>
      <c r="IE211" s="134"/>
      <c r="IF211" s="134"/>
      <c r="IG211" s="134"/>
      <c r="IH211" s="134"/>
      <c r="II211" s="134"/>
      <c r="IJ211" s="134"/>
      <c r="IK211" s="134"/>
      <c r="IL211" s="134"/>
      <c r="IM211" s="134"/>
      <c r="IN211" s="134"/>
      <c r="IO211" s="134"/>
      <c r="IP211" s="134"/>
      <c r="IQ211" s="134"/>
      <c r="IR211" s="134"/>
      <c r="IS211" s="134"/>
      <c r="IT211" s="134"/>
      <c r="IU211" s="134"/>
    </row>
    <row r="212" spans="1:255" ht="105" x14ac:dyDescent="0.2">
      <c r="A212" s="236" t="str">
        <f>'HECVAT - Full'!A212</f>
        <v>MAPP-07</v>
      </c>
      <c r="B212" s="236" t="str">
        <f>VLOOKUP(A212,'HECVAT - Full'!A$24:B$312,2,FALSE)</f>
        <v>Does the mobile application support Kerberos, CAS, or Active Directory authentication?</v>
      </c>
      <c r="C212" s="269" t="s">
        <v>3011</v>
      </c>
      <c r="D212" s="239" t="s">
        <v>2753</v>
      </c>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c r="CZ212" s="134"/>
      <c r="DA212" s="134"/>
      <c r="DB212" s="134"/>
      <c r="DC212" s="134"/>
      <c r="DD212" s="134"/>
      <c r="DE212" s="134"/>
      <c r="DF212" s="134"/>
      <c r="DG212" s="134"/>
      <c r="DH212" s="134"/>
      <c r="DI212" s="134"/>
      <c r="DJ212" s="134"/>
      <c r="DK212" s="134"/>
      <c r="DL212" s="134"/>
      <c r="DM212" s="134"/>
      <c r="DN212" s="134"/>
      <c r="DO212" s="134"/>
      <c r="DP212" s="134"/>
      <c r="DQ212" s="134"/>
      <c r="DR212" s="134"/>
      <c r="DS212" s="134"/>
      <c r="DT212" s="134"/>
      <c r="DU212" s="134"/>
      <c r="DV212" s="134"/>
      <c r="DW212" s="134"/>
      <c r="DX212" s="134"/>
      <c r="DY212" s="134"/>
      <c r="DZ212" s="134"/>
      <c r="EA212" s="134"/>
      <c r="EB212" s="134"/>
      <c r="EC212" s="134"/>
      <c r="ED212" s="134"/>
      <c r="EE212" s="134"/>
      <c r="EF212" s="134"/>
      <c r="EG212" s="134"/>
      <c r="EH212" s="134"/>
      <c r="EI212" s="134"/>
      <c r="EJ212" s="134"/>
      <c r="EK212" s="134"/>
      <c r="EL212" s="134"/>
      <c r="EM212" s="134"/>
      <c r="EN212" s="134"/>
      <c r="EO212" s="134"/>
      <c r="EP212" s="134"/>
      <c r="EQ212" s="134"/>
      <c r="ER212" s="134"/>
      <c r="ES212" s="134"/>
      <c r="ET212" s="134"/>
      <c r="EU212" s="134"/>
      <c r="EV212" s="134"/>
      <c r="EW212" s="134"/>
      <c r="EX212" s="134"/>
      <c r="EY212" s="134"/>
      <c r="EZ212" s="134"/>
      <c r="FA212" s="134"/>
      <c r="FB212" s="134"/>
      <c r="FC212" s="134"/>
      <c r="FD212" s="134"/>
      <c r="FE212" s="134"/>
      <c r="FF212" s="134"/>
      <c r="FG212" s="134"/>
      <c r="FH212" s="134"/>
      <c r="FI212" s="134"/>
      <c r="FJ212" s="134"/>
      <c r="FK212" s="134"/>
      <c r="FL212" s="134"/>
      <c r="FM212" s="134"/>
      <c r="FN212" s="134"/>
      <c r="FO212" s="134"/>
      <c r="FP212" s="134"/>
      <c r="FQ212" s="134"/>
      <c r="FR212" s="134"/>
      <c r="FS212" s="134"/>
      <c r="FT212" s="134"/>
      <c r="FU212" s="134"/>
      <c r="FV212" s="134"/>
      <c r="FW212" s="134"/>
      <c r="FX212" s="134"/>
      <c r="FY212" s="134"/>
      <c r="FZ212" s="134"/>
      <c r="GA212" s="134"/>
      <c r="GB212" s="134"/>
      <c r="GC212" s="134"/>
      <c r="GD212" s="134"/>
      <c r="GE212" s="134"/>
      <c r="GF212" s="134"/>
      <c r="GG212" s="134"/>
      <c r="GH212" s="134"/>
      <c r="GI212" s="134"/>
      <c r="GJ212" s="134"/>
      <c r="GK212" s="134"/>
      <c r="GL212" s="134"/>
      <c r="GM212" s="134"/>
      <c r="GN212" s="134"/>
      <c r="GO212" s="134"/>
      <c r="GP212" s="134"/>
      <c r="GQ212" s="134"/>
      <c r="GR212" s="134"/>
      <c r="GS212" s="134"/>
      <c r="GT212" s="134"/>
      <c r="GU212" s="134"/>
      <c r="GV212" s="134"/>
      <c r="GW212" s="134"/>
      <c r="GX212" s="134"/>
      <c r="GY212" s="134"/>
      <c r="GZ212" s="134"/>
      <c r="HA212" s="134"/>
      <c r="HB212" s="134"/>
      <c r="HC212" s="134"/>
      <c r="HD212" s="134"/>
      <c r="HE212" s="134"/>
      <c r="HF212" s="134"/>
      <c r="HG212" s="134"/>
      <c r="HH212" s="134"/>
      <c r="HI212" s="134"/>
      <c r="HJ212" s="134"/>
      <c r="HK212" s="134"/>
      <c r="HL212" s="134"/>
      <c r="HM212" s="134"/>
      <c r="HN212" s="134"/>
      <c r="HO212" s="134"/>
      <c r="HP212" s="134"/>
      <c r="HQ212" s="134"/>
      <c r="HR212" s="134"/>
      <c r="HS212" s="134"/>
      <c r="HT212" s="134"/>
      <c r="HU212" s="134"/>
      <c r="HV212" s="134"/>
      <c r="HW212" s="134"/>
      <c r="HX212" s="134"/>
      <c r="HY212" s="134"/>
      <c r="HZ212" s="134"/>
      <c r="IA212" s="134"/>
      <c r="IB212" s="134"/>
      <c r="IC212" s="134"/>
      <c r="ID212" s="134"/>
      <c r="IE212" s="134"/>
      <c r="IF212" s="134"/>
      <c r="IG212" s="134"/>
      <c r="IH212" s="134"/>
      <c r="II212" s="134"/>
      <c r="IJ212" s="134"/>
      <c r="IK212" s="134"/>
      <c r="IL212" s="134"/>
      <c r="IM212" s="134"/>
      <c r="IN212" s="134"/>
      <c r="IO212" s="134"/>
      <c r="IP212" s="134"/>
      <c r="IQ212" s="134"/>
      <c r="IR212" s="134"/>
      <c r="IS212" s="134"/>
      <c r="IT212" s="134"/>
      <c r="IU212" s="134"/>
    </row>
    <row r="213" spans="1:255" ht="75" x14ac:dyDescent="0.2">
      <c r="A213" s="236" t="str">
        <f>'HECVAT - Full'!A213</f>
        <v>MAPP-08</v>
      </c>
      <c r="B213" s="236" t="str">
        <f>VLOOKUP(A213,'HECVAT - Full'!A$24:B$312,2,FALSE)</f>
        <v>Will any of these systems be implemented on systems hosting the Institution's data?</v>
      </c>
      <c r="C213" s="247" t="s">
        <v>2762</v>
      </c>
      <c r="D213" s="247" t="s">
        <v>2763</v>
      </c>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c r="CZ213" s="134"/>
      <c r="DA213" s="134"/>
      <c r="DB213" s="134"/>
      <c r="DC213" s="134"/>
      <c r="DD213" s="134"/>
      <c r="DE213" s="134"/>
      <c r="DF213" s="134"/>
      <c r="DG213" s="134"/>
      <c r="DH213" s="134"/>
      <c r="DI213" s="134"/>
      <c r="DJ213" s="134"/>
      <c r="DK213" s="134"/>
      <c r="DL213" s="134"/>
      <c r="DM213" s="134"/>
      <c r="DN213" s="134"/>
      <c r="DO213" s="134"/>
      <c r="DP213" s="134"/>
      <c r="DQ213" s="134"/>
      <c r="DR213" s="134"/>
      <c r="DS213" s="134"/>
      <c r="DT213" s="134"/>
      <c r="DU213" s="134"/>
      <c r="DV213" s="134"/>
      <c r="DW213" s="134"/>
      <c r="DX213" s="134"/>
      <c r="DY213" s="134"/>
      <c r="DZ213" s="134"/>
      <c r="EA213" s="134"/>
      <c r="EB213" s="134"/>
      <c r="EC213" s="134"/>
      <c r="ED213" s="134"/>
      <c r="EE213" s="134"/>
      <c r="EF213" s="134"/>
      <c r="EG213" s="134"/>
      <c r="EH213" s="134"/>
      <c r="EI213" s="134"/>
      <c r="EJ213" s="134"/>
      <c r="EK213" s="134"/>
      <c r="EL213" s="134"/>
      <c r="EM213" s="134"/>
      <c r="EN213" s="134"/>
      <c r="EO213" s="134"/>
      <c r="EP213" s="134"/>
      <c r="EQ213" s="134"/>
      <c r="ER213" s="134"/>
      <c r="ES213" s="134"/>
      <c r="ET213" s="134"/>
      <c r="EU213" s="134"/>
      <c r="EV213" s="134"/>
      <c r="EW213" s="134"/>
      <c r="EX213" s="134"/>
      <c r="EY213" s="134"/>
      <c r="EZ213" s="134"/>
      <c r="FA213" s="134"/>
      <c r="FB213" s="134"/>
      <c r="FC213" s="134"/>
      <c r="FD213" s="134"/>
      <c r="FE213" s="134"/>
      <c r="FF213" s="134"/>
      <c r="FG213" s="134"/>
      <c r="FH213" s="134"/>
      <c r="FI213" s="134"/>
      <c r="FJ213" s="134"/>
      <c r="FK213" s="134"/>
      <c r="FL213" s="134"/>
      <c r="FM213" s="134"/>
      <c r="FN213" s="134"/>
      <c r="FO213" s="134"/>
      <c r="FP213" s="134"/>
      <c r="FQ213" s="134"/>
      <c r="FR213" s="134"/>
      <c r="FS213" s="134"/>
      <c r="FT213" s="134"/>
      <c r="FU213" s="134"/>
      <c r="FV213" s="134"/>
      <c r="FW213" s="134"/>
      <c r="FX213" s="134"/>
      <c r="FY213" s="134"/>
      <c r="FZ213" s="134"/>
      <c r="GA213" s="134"/>
      <c r="GB213" s="134"/>
      <c r="GC213" s="134"/>
      <c r="GD213" s="134"/>
      <c r="GE213" s="134"/>
      <c r="GF213" s="134"/>
      <c r="GG213" s="134"/>
      <c r="GH213" s="134"/>
      <c r="GI213" s="134"/>
      <c r="GJ213" s="134"/>
      <c r="GK213" s="134"/>
      <c r="GL213" s="134"/>
      <c r="GM213" s="134"/>
      <c r="GN213" s="134"/>
      <c r="GO213" s="134"/>
      <c r="GP213" s="134"/>
      <c r="GQ213" s="134"/>
      <c r="GR213" s="134"/>
      <c r="GS213" s="134"/>
      <c r="GT213" s="134"/>
      <c r="GU213" s="134"/>
      <c r="GV213" s="134"/>
      <c r="GW213" s="134"/>
      <c r="GX213" s="134"/>
      <c r="GY213" s="134"/>
      <c r="GZ213" s="134"/>
      <c r="HA213" s="134"/>
      <c r="HB213" s="134"/>
      <c r="HC213" s="134"/>
      <c r="HD213" s="134"/>
      <c r="HE213" s="134"/>
      <c r="HF213" s="134"/>
      <c r="HG213" s="134"/>
      <c r="HH213" s="134"/>
      <c r="HI213" s="134"/>
      <c r="HJ213" s="134"/>
      <c r="HK213" s="134"/>
      <c r="HL213" s="134"/>
      <c r="HM213" s="134"/>
      <c r="HN213" s="134"/>
      <c r="HO213" s="134"/>
      <c r="HP213" s="134"/>
      <c r="HQ213" s="134"/>
      <c r="HR213" s="134"/>
      <c r="HS213" s="134"/>
      <c r="HT213" s="134"/>
      <c r="HU213" s="134"/>
      <c r="HV213" s="134"/>
      <c r="HW213" s="134"/>
      <c r="HX213" s="134"/>
      <c r="HY213" s="134"/>
      <c r="HZ213" s="134"/>
      <c r="IA213" s="134"/>
      <c r="IB213" s="134"/>
      <c r="IC213" s="134"/>
      <c r="ID213" s="134"/>
      <c r="IE213" s="134"/>
      <c r="IF213" s="134"/>
      <c r="IG213" s="134"/>
      <c r="IH213" s="134"/>
      <c r="II213" s="134"/>
      <c r="IJ213" s="134"/>
      <c r="IK213" s="134"/>
      <c r="IL213" s="134"/>
      <c r="IM213" s="134"/>
      <c r="IN213" s="134"/>
      <c r="IO213" s="134"/>
      <c r="IP213" s="134"/>
      <c r="IQ213" s="134"/>
      <c r="IR213" s="134"/>
      <c r="IS213" s="134"/>
      <c r="IT213" s="134"/>
      <c r="IU213" s="134"/>
    </row>
    <row r="214" spans="1:255" ht="84.75" customHeight="1" x14ac:dyDescent="0.2">
      <c r="A214" s="236" t="str">
        <f>'HECVAT - Full'!A214</f>
        <v>MAPP-09</v>
      </c>
      <c r="B214" s="236" t="str">
        <f>VLOOKUP(A214,'HECVAT - Full'!A$24:B$312,2,FALSE)</f>
        <v>Does the application adhere to secure coding practices (e.g. OWASP, etc.)?</v>
      </c>
      <c r="C214" s="269" t="s">
        <v>3035</v>
      </c>
      <c r="D214" s="242" t="s">
        <v>2911</v>
      </c>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134"/>
      <c r="EM214" s="134"/>
      <c r="EN214" s="134"/>
      <c r="EO214" s="134"/>
      <c r="EP214" s="134"/>
      <c r="EQ214" s="134"/>
      <c r="ER214" s="134"/>
      <c r="ES214" s="134"/>
      <c r="ET214" s="134"/>
      <c r="EU214" s="134"/>
      <c r="EV214" s="134"/>
      <c r="EW214" s="134"/>
      <c r="EX214" s="134"/>
      <c r="EY214" s="134"/>
      <c r="EZ214" s="134"/>
      <c r="FA214" s="134"/>
      <c r="FB214" s="134"/>
      <c r="FC214" s="134"/>
      <c r="FD214" s="134"/>
      <c r="FE214" s="134"/>
      <c r="FF214" s="134"/>
      <c r="FG214" s="134"/>
      <c r="FH214" s="134"/>
      <c r="FI214" s="134"/>
      <c r="FJ214" s="134"/>
      <c r="FK214" s="134"/>
      <c r="FL214" s="134"/>
      <c r="FM214" s="134"/>
      <c r="FN214" s="134"/>
      <c r="FO214" s="134"/>
      <c r="FP214" s="134"/>
      <c r="FQ214" s="134"/>
      <c r="FR214" s="134"/>
      <c r="FS214" s="134"/>
      <c r="FT214" s="134"/>
      <c r="FU214" s="134"/>
      <c r="FV214" s="134"/>
      <c r="FW214" s="134"/>
      <c r="FX214" s="134"/>
      <c r="FY214" s="134"/>
      <c r="FZ214" s="134"/>
      <c r="GA214" s="134"/>
      <c r="GB214" s="134"/>
      <c r="GC214" s="134"/>
      <c r="GD214" s="134"/>
      <c r="GE214" s="134"/>
      <c r="GF214" s="134"/>
      <c r="GG214" s="134"/>
      <c r="GH214" s="134"/>
      <c r="GI214" s="134"/>
      <c r="GJ214" s="134"/>
      <c r="GK214" s="134"/>
      <c r="GL214" s="134"/>
      <c r="GM214" s="134"/>
      <c r="GN214" s="134"/>
      <c r="GO214" s="134"/>
      <c r="GP214" s="134"/>
      <c r="GQ214" s="134"/>
      <c r="GR214" s="134"/>
      <c r="GS214" s="134"/>
      <c r="GT214" s="134"/>
      <c r="GU214" s="134"/>
      <c r="GV214" s="134"/>
      <c r="GW214" s="134"/>
      <c r="GX214" s="134"/>
      <c r="GY214" s="134"/>
      <c r="GZ214" s="134"/>
      <c r="HA214" s="134"/>
      <c r="HB214" s="134"/>
      <c r="HC214" s="134"/>
      <c r="HD214" s="134"/>
      <c r="HE214" s="134"/>
      <c r="HF214" s="134"/>
      <c r="HG214" s="134"/>
      <c r="HH214" s="134"/>
      <c r="HI214" s="134"/>
      <c r="HJ214" s="134"/>
      <c r="HK214" s="134"/>
      <c r="HL214" s="134"/>
      <c r="HM214" s="134"/>
      <c r="HN214" s="134"/>
      <c r="HO214" s="134"/>
      <c r="HP214" s="134"/>
      <c r="HQ214" s="134"/>
      <c r="HR214" s="134"/>
      <c r="HS214" s="134"/>
      <c r="HT214" s="134"/>
      <c r="HU214" s="134"/>
      <c r="HV214" s="134"/>
      <c r="HW214" s="134"/>
      <c r="HX214" s="134"/>
      <c r="HY214" s="134"/>
      <c r="HZ214" s="134"/>
      <c r="IA214" s="134"/>
      <c r="IB214" s="134"/>
      <c r="IC214" s="134"/>
      <c r="ID214" s="134"/>
      <c r="IE214" s="134"/>
      <c r="IF214" s="134"/>
      <c r="IG214" s="134"/>
      <c r="IH214" s="134"/>
      <c r="II214" s="134"/>
      <c r="IJ214" s="134"/>
      <c r="IK214" s="134"/>
      <c r="IL214" s="134"/>
      <c r="IM214" s="134"/>
      <c r="IN214" s="134"/>
      <c r="IO214" s="134"/>
      <c r="IP214" s="134"/>
      <c r="IQ214" s="134"/>
      <c r="IR214" s="134"/>
      <c r="IS214" s="134"/>
      <c r="IT214" s="134"/>
      <c r="IU214" s="134"/>
    </row>
    <row r="215" spans="1:255" ht="120" x14ac:dyDescent="0.2">
      <c r="A215" s="236" t="str">
        <f>'HECVAT - Full'!A215</f>
        <v>MAPP-10</v>
      </c>
      <c r="B215" s="236" t="str">
        <f>VLOOKUP(A215,'HECVAT - Full'!A$24:B$312,2,FALSE)</f>
        <v>Has the application been tested for vulnerabilities by a third party?</v>
      </c>
      <c r="C215" s="269" t="s">
        <v>3036</v>
      </c>
      <c r="D215" s="272" t="s">
        <v>3037</v>
      </c>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4"/>
      <c r="BQ215" s="134"/>
      <c r="BR215" s="134"/>
      <c r="BS215" s="134"/>
      <c r="BT215" s="134"/>
      <c r="BU215" s="134"/>
      <c r="BV215" s="134"/>
      <c r="BW215" s="134"/>
      <c r="BX215" s="134"/>
      <c r="BY215" s="134"/>
      <c r="BZ215" s="134"/>
      <c r="CA215" s="134"/>
      <c r="CB215" s="134"/>
      <c r="CC215" s="134"/>
      <c r="CD215" s="134"/>
      <c r="CE215" s="134"/>
      <c r="CF215" s="134"/>
      <c r="CG215" s="134"/>
      <c r="CH215" s="134"/>
      <c r="CI215" s="134"/>
      <c r="CJ215" s="134"/>
      <c r="CK215" s="134"/>
      <c r="CL215" s="134"/>
      <c r="CM215" s="134"/>
      <c r="CN215" s="134"/>
      <c r="CO215" s="134"/>
      <c r="CP215" s="134"/>
      <c r="CQ215" s="134"/>
      <c r="CR215" s="134"/>
      <c r="CS215" s="134"/>
      <c r="CT215" s="134"/>
      <c r="CU215" s="134"/>
      <c r="CV215" s="134"/>
      <c r="CW215" s="134"/>
      <c r="CX215" s="134"/>
      <c r="CY215" s="134"/>
      <c r="CZ215" s="134"/>
      <c r="DA215" s="134"/>
      <c r="DB215" s="134"/>
      <c r="DC215" s="134"/>
      <c r="DD215" s="134"/>
      <c r="DE215" s="134"/>
      <c r="DF215" s="134"/>
      <c r="DG215" s="134"/>
      <c r="DH215" s="134"/>
      <c r="DI215" s="134"/>
      <c r="DJ215" s="134"/>
      <c r="DK215" s="134"/>
      <c r="DL215" s="134"/>
      <c r="DM215" s="134"/>
      <c r="DN215" s="134"/>
      <c r="DO215" s="134"/>
      <c r="DP215" s="134"/>
      <c r="DQ215" s="134"/>
      <c r="DR215" s="134"/>
      <c r="DS215" s="134"/>
      <c r="DT215" s="134"/>
      <c r="DU215" s="134"/>
      <c r="DV215" s="134"/>
      <c r="DW215" s="134"/>
      <c r="DX215" s="134"/>
      <c r="DY215" s="134"/>
      <c r="DZ215" s="134"/>
      <c r="EA215" s="134"/>
      <c r="EB215" s="134"/>
      <c r="EC215" s="134"/>
      <c r="ED215" s="134"/>
      <c r="EE215" s="134"/>
      <c r="EF215" s="134"/>
      <c r="EG215" s="134"/>
      <c r="EH215" s="134"/>
      <c r="EI215" s="134"/>
      <c r="EJ215" s="134"/>
      <c r="EK215" s="134"/>
      <c r="EL215" s="134"/>
      <c r="EM215" s="134"/>
      <c r="EN215" s="134"/>
      <c r="EO215" s="134"/>
      <c r="EP215" s="134"/>
      <c r="EQ215" s="134"/>
      <c r="ER215" s="134"/>
      <c r="ES215" s="134"/>
      <c r="ET215" s="134"/>
      <c r="EU215" s="134"/>
      <c r="EV215" s="134"/>
      <c r="EW215" s="134"/>
      <c r="EX215" s="134"/>
      <c r="EY215" s="134"/>
      <c r="EZ215" s="134"/>
      <c r="FA215" s="134"/>
      <c r="FB215" s="134"/>
      <c r="FC215" s="134"/>
      <c r="FD215" s="134"/>
      <c r="FE215" s="134"/>
      <c r="FF215" s="134"/>
      <c r="FG215" s="134"/>
      <c r="FH215" s="134"/>
      <c r="FI215" s="134"/>
      <c r="FJ215" s="134"/>
      <c r="FK215" s="134"/>
      <c r="FL215" s="134"/>
      <c r="FM215" s="134"/>
      <c r="FN215" s="134"/>
      <c r="FO215" s="134"/>
      <c r="FP215" s="134"/>
      <c r="FQ215" s="134"/>
      <c r="FR215" s="134"/>
      <c r="FS215" s="134"/>
      <c r="FT215" s="134"/>
      <c r="FU215" s="134"/>
      <c r="FV215" s="134"/>
      <c r="FW215" s="134"/>
      <c r="FX215" s="134"/>
      <c r="FY215" s="134"/>
      <c r="FZ215" s="134"/>
      <c r="GA215" s="134"/>
      <c r="GB215" s="134"/>
      <c r="GC215" s="134"/>
      <c r="GD215" s="134"/>
      <c r="GE215" s="134"/>
      <c r="GF215" s="134"/>
      <c r="GG215" s="134"/>
      <c r="GH215" s="134"/>
      <c r="GI215" s="134"/>
      <c r="GJ215" s="134"/>
      <c r="GK215" s="134"/>
      <c r="GL215" s="134"/>
      <c r="GM215" s="134"/>
      <c r="GN215" s="134"/>
      <c r="GO215" s="134"/>
      <c r="GP215" s="134"/>
      <c r="GQ215" s="134"/>
      <c r="GR215" s="134"/>
      <c r="GS215" s="134"/>
      <c r="GT215" s="134"/>
      <c r="GU215" s="134"/>
      <c r="GV215" s="134"/>
      <c r="GW215" s="134"/>
      <c r="GX215" s="134"/>
      <c r="GY215" s="134"/>
      <c r="GZ215" s="134"/>
      <c r="HA215" s="134"/>
      <c r="HB215" s="134"/>
      <c r="HC215" s="134"/>
      <c r="HD215" s="134"/>
      <c r="HE215" s="134"/>
      <c r="HF215" s="134"/>
      <c r="HG215" s="134"/>
      <c r="HH215" s="134"/>
      <c r="HI215" s="134"/>
      <c r="HJ215" s="134"/>
      <c r="HK215" s="134"/>
      <c r="HL215" s="134"/>
      <c r="HM215" s="134"/>
      <c r="HN215" s="134"/>
      <c r="HO215" s="134"/>
      <c r="HP215" s="134"/>
      <c r="HQ215" s="134"/>
      <c r="HR215" s="134"/>
      <c r="HS215" s="134"/>
      <c r="HT215" s="134"/>
      <c r="HU215" s="134"/>
      <c r="HV215" s="134"/>
      <c r="HW215" s="134"/>
      <c r="HX215" s="134"/>
      <c r="HY215" s="134"/>
      <c r="HZ215" s="134"/>
      <c r="IA215" s="134"/>
      <c r="IB215" s="134"/>
      <c r="IC215" s="134"/>
      <c r="ID215" s="134"/>
      <c r="IE215" s="134"/>
      <c r="IF215" s="134"/>
      <c r="IG215" s="134"/>
      <c r="IH215" s="134"/>
      <c r="II215" s="134"/>
      <c r="IJ215" s="134"/>
      <c r="IK215" s="134"/>
      <c r="IL215" s="134"/>
      <c r="IM215" s="134"/>
      <c r="IN215" s="134"/>
      <c r="IO215" s="134"/>
      <c r="IP215" s="134"/>
      <c r="IQ215" s="134"/>
      <c r="IR215" s="134"/>
      <c r="IS215" s="134"/>
      <c r="IT215" s="134"/>
      <c r="IU215" s="134"/>
    </row>
    <row r="216" spans="1:255" ht="120" x14ac:dyDescent="0.2">
      <c r="A216" s="236" t="str">
        <f>'HECVAT - Full'!A216</f>
        <v>MAPP-11</v>
      </c>
      <c r="B216" s="236" t="str">
        <f>VLOOKUP(A216,'HECVAT - Full'!A$24:B$312,2,FALSE)</f>
        <v>State the party that performed the vulnerability test and the date it was conducted?</v>
      </c>
      <c r="C216" s="269" t="s">
        <v>3036</v>
      </c>
      <c r="D216" s="272" t="s">
        <v>3038</v>
      </c>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34"/>
      <c r="BR216" s="134"/>
      <c r="BS216" s="134"/>
      <c r="BT216" s="134"/>
      <c r="BU216" s="134"/>
      <c r="BV216" s="134"/>
      <c r="BW216" s="134"/>
      <c r="BX216" s="134"/>
      <c r="BY216" s="134"/>
      <c r="BZ216" s="134"/>
      <c r="CA216" s="134"/>
      <c r="CB216" s="134"/>
      <c r="CC216" s="134"/>
      <c r="CD216" s="134"/>
      <c r="CE216" s="134"/>
      <c r="CF216" s="134"/>
      <c r="CG216" s="134"/>
      <c r="CH216" s="134"/>
      <c r="CI216" s="134"/>
      <c r="CJ216" s="134"/>
      <c r="CK216" s="134"/>
      <c r="CL216" s="134"/>
      <c r="CM216" s="134"/>
      <c r="CN216" s="134"/>
      <c r="CO216" s="134"/>
      <c r="CP216" s="134"/>
      <c r="CQ216" s="134"/>
      <c r="CR216" s="134"/>
      <c r="CS216" s="134"/>
      <c r="CT216" s="134"/>
      <c r="CU216" s="134"/>
      <c r="CV216" s="134"/>
      <c r="CW216" s="134"/>
      <c r="CX216" s="134"/>
      <c r="CY216" s="134"/>
      <c r="CZ216" s="134"/>
      <c r="DA216" s="134"/>
      <c r="DB216" s="134"/>
      <c r="DC216" s="134"/>
      <c r="DD216" s="134"/>
      <c r="DE216" s="134"/>
      <c r="DF216" s="134"/>
      <c r="DG216" s="134"/>
      <c r="DH216" s="134"/>
      <c r="DI216" s="134"/>
      <c r="DJ216" s="134"/>
      <c r="DK216" s="134"/>
      <c r="DL216" s="134"/>
      <c r="DM216" s="134"/>
      <c r="DN216" s="134"/>
      <c r="DO216" s="134"/>
      <c r="DP216" s="134"/>
      <c r="DQ216" s="134"/>
      <c r="DR216" s="134"/>
      <c r="DS216" s="134"/>
      <c r="DT216" s="134"/>
      <c r="DU216" s="134"/>
      <c r="DV216" s="134"/>
      <c r="DW216" s="134"/>
      <c r="DX216" s="134"/>
      <c r="DY216" s="134"/>
      <c r="DZ216" s="134"/>
      <c r="EA216" s="134"/>
      <c r="EB216" s="134"/>
      <c r="EC216" s="134"/>
      <c r="ED216" s="134"/>
      <c r="EE216" s="134"/>
      <c r="EF216" s="134"/>
      <c r="EG216" s="134"/>
      <c r="EH216" s="134"/>
      <c r="EI216" s="134"/>
      <c r="EJ216" s="134"/>
      <c r="EK216" s="134"/>
      <c r="EL216" s="134"/>
      <c r="EM216" s="134"/>
      <c r="EN216" s="134"/>
      <c r="EO216" s="134"/>
      <c r="EP216" s="134"/>
      <c r="EQ216" s="134"/>
      <c r="ER216" s="134"/>
      <c r="ES216" s="134"/>
      <c r="ET216" s="134"/>
      <c r="EU216" s="134"/>
      <c r="EV216" s="134"/>
      <c r="EW216" s="134"/>
      <c r="EX216" s="134"/>
      <c r="EY216" s="134"/>
      <c r="EZ216" s="134"/>
      <c r="FA216" s="134"/>
      <c r="FB216" s="134"/>
      <c r="FC216" s="134"/>
      <c r="FD216" s="134"/>
      <c r="FE216" s="134"/>
      <c r="FF216" s="134"/>
      <c r="FG216" s="134"/>
      <c r="FH216" s="134"/>
      <c r="FI216" s="134"/>
      <c r="FJ216" s="134"/>
      <c r="FK216" s="134"/>
      <c r="FL216" s="134"/>
      <c r="FM216" s="134"/>
      <c r="FN216" s="134"/>
      <c r="FO216" s="134"/>
      <c r="FP216" s="134"/>
      <c r="FQ216" s="134"/>
      <c r="FR216" s="134"/>
      <c r="FS216" s="134"/>
      <c r="FT216" s="134"/>
      <c r="FU216" s="134"/>
      <c r="FV216" s="134"/>
      <c r="FW216" s="134"/>
      <c r="FX216" s="134"/>
      <c r="FY216" s="134"/>
      <c r="FZ216" s="134"/>
      <c r="GA216" s="134"/>
      <c r="GB216" s="134"/>
      <c r="GC216" s="134"/>
      <c r="GD216" s="134"/>
      <c r="GE216" s="134"/>
      <c r="GF216" s="134"/>
      <c r="GG216" s="134"/>
      <c r="GH216" s="134"/>
      <c r="GI216" s="134"/>
      <c r="GJ216" s="134"/>
      <c r="GK216" s="134"/>
      <c r="GL216" s="134"/>
      <c r="GM216" s="134"/>
      <c r="GN216" s="134"/>
      <c r="GO216" s="134"/>
      <c r="GP216" s="134"/>
      <c r="GQ216" s="134"/>
      <c r="GR216" s="134"/>
      <c r="GS216" s="134"/>
      <c r="GT216" s="134"/>
      <c r="GU216" s="134"/>
      <c r="GV216" s="134"/>
      <c r="GW216" s="134"/>
      <c r="GX216" s="134"/>
      <c r="GY216" s="134"/>
      <c r="GZ216" s="134"/>
      <c r="HA216" s="134"/>
      <c r="HB216" s="134"/>
      <c r="HC216" s="134"/>
      <c r="HD216" s="134"/>
      <c r="HE216" s="134"/>
      <c r="HF216" s="134"/>
      <c r="HG216" s="134"/>
      <c r="HH216" s="134"/>
      <c r="HI216" s="134"/>
      <c r="HJ216" s="134"/>
      <c r="HK216" s="134"/>
      <c r="HL216" s="134"/>
      <c r="HM216" s="134"/>
      <c r="HN216" s="134"/>
      <c r="HO216" s="134"/>
      <c r="HP216" s="134"/>
      <c r="HQ216" s="134"/>
      <c r="HR216" s="134"/>
      <c r="HS216" s="134"/>
      <c r="HT216" s="134"/>
      <c r="HU216" s="134"/>
      <c r="HV216" s="134"/>
      <c r="HW216" s="134"/>
      <c r="HX216" s="134"/>
      <c r="HY216" s="134"/>
      <c r="HZ216" s="134"/>
      <c r="IA216" s="134"/>
      <c r="IB216" s="134"/>
      <c r="IC216" s="134"/>
      <c r="ID216" s="134"/>
      <c r="IE216" s="134"/>
      <c r="IF216" s="134"/>
      <c r="IG216" s="134"/>
      <c r="IH216" s="134"/>
      <c r="II216" s="134"/>
      <c r="IJ216" s="134"/>
      <c r="IK216" s="134"/>
      <c r="IL216" s="134"/>
      <c r="IM216" s="134"/>
      <c r="IN216" s="134"/>
      <c r="IO216" s="134"/>
      <c r="IP216" s="134"/>
      <c r="IQ216" s="134"/>
      <c r="IR216" s="134"/>
      <c r="IS216" s="134"/>
      <c r="IT216" s="134"/>
      <c r="IU216" s="134"/>
    </row>
    <row r="217" spans="1:255" ht="36" customHeight="1" x14ac:dyDescent="0.2">
      <c r="A217" s="341" t="str">
        <f>IF($C$30="","Physical Security",IF($C$30="Yes","Physical Security - Optional based on QUALIFIER response.","Physical Security"))</f>
        <v>Physical Security</v>
      </c>
      <c r="B217" s="341"/>
      <c r="C217" s="234" t="str">
        <f>$C$22</f>
        <v>Reason for Question</v>
      </c>
      <c r="D217" s="234" t="str">
        <f>$D$22</f>
        <v>Follow-up Inquiries/Responses</v>
      </c>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c r="CZ217" s="134"/>
      <c r="DA217" s="134"/>
      <c r="DB217" s="134"/>
      <c r="DC217" s="134"/>
      <c r="DD217" s="134"/>
      <c r="DE217" s="134"/>
      <c r="DF217" s="134"/>
      <c r="DG217" s="134"/>
      <c r="DH217" s="134"/>
      <c r="DI217" s="134"/>
      <c r="DJ217" s="134"/>
      <c r="DK217" s="134"/>
      <c r="DL217" s="134"/>
      <c r="DM217" s="134"/>
      <c r="DN217" s="134"/>
      <c r="DO217" s="134"/>
      <c r="DP217" s="134"/>
      <c r="DQ217" s="134"/>
      <c r="DR217" s="134"/>
      <c r="DS217" s="134"/>
      <c r="DT217" s="134"/>
      <c r="DU217" s="134"/>
      <c r="DV217" s="134"/>
      <c r="DW217" s="134"/>
      <c r="DX217" s="134"/>
      <c r="DY217" s="134"/>
      <c r="DZ217" s="134"/>
      <c r="EA217" s="134"/>
      <c r="EB217" s="134"/>
      <c r="EC217" s="134"/>
      <c r="ED217" s="134"/>
      <c r="EE217" s="134"/>
      <c r="EF217" s="134"/>
      <c r="EG217" s="134"/>
      <c r="EH217" s="134"/>
      <c r="EI217" s="134"/>
      <c r="EJ217" s="134"/>
      <c r="EK217" s="134"/>
      <c r="EL217" s="134"/>
      <c r="EM217" s="134"/>
      <c r="EN217" s="134"/>
      <c r="EO217" s="134"/>
      <c r="EP217" s="134"/>
      <c r="EQ217" s="134"/>
      <c r="ER217" s="134"/>
      <c r="ES217" s="134"/>
      <c r="ET217" s="134"/>
      <c r="EU217" s="134"/>
      <c r="EV217" s="134"/>
      <c r="EW217" s="134"/>
      <c r="EX217" s="134"/>
      <c r="EY217" s="134"/>
      <c r="EZ217" s="134"/>
      <c r="FA217" s="134"/>
      <c r="FB217" s="134"/>
      <c r="FC217" s="134"/>
      <c r="FD217" s="134"/>
      <c r="FE217" s="134"/>
      <c r="FF217" s="134"/>
      <c r="FG217" s="134"/>
      <c r="FH217" s="134"/>
      <c r="FI217" s="134"/>
      <c r="FJ217" s="134"/>
      <c r="FK217" s="134"/>
      <c r="FL217" s="134"/>
      <c r="FM217" s="134"/>
      <c r="FN217" s="134"/>
      <c r="FO217" s="134"/>
      <c r="FP217" s="134"/>
      <c r="FQ217" s="134"/>
      <c r="FR217" s="134"/>
      <c r="FS217" s="134"/>
      <c r="FT217" s="134"/>
      <c r="FU217" s="134"/>
      <c r="FV217" s="134"/>
      <c r="FW217" s="134"/>
      <c r="FX217" s="134"/>
      <c r="FY217" s="134"/>
      <c r="FZ217" s="134"/>
      <c r="GA217" s="134"/>
      <c r="GB217" s="134"/>
      <c r="GC217" s="134"/>
      <c r="GD217" s="134"/>
      <c r="GE217" s="134"/>
      <c r="GF217" s="134"/>
      <c r="GG217" s="134"/>
      <c r="GH217" s="134"/>
      <c r="GI217" s="134"/>
      <c r="GJ217" s="134"/>
      <c r="GK217" s="134"/>
      <c r="GL217" s="134"/>
      <c r="GM217" s="134"/>
      <c r="GN217" s="134"/>
      <c r="GO217" s="134"/>
      <c r="GP217" s="134"/>
      <c r="GQ217" s="134"/>
      <c r="GR217" s="134"/>
      <c r="GS217" s="134"/>
      <c r="GT217" s="134"/>
      <c r="GU217" s="134"/>
      <c r="GV217" s="134"/>
      <c r="GW217" s="134"/>
      <c r="GX217" s="134"/>
      <c r="GY217" s="134"/>
      <c r="GZ217" s="134"/>
      <c r="HA217" s="134"/>
      <c r="HB217" s="134"/>
      <c r="HC217" s="134"/>
      <c r="HD217" s="134"/>
      <c r="HE217" s="134"/>
      <c r="HF217" s="134"/>
      <c r="HG217" s="134"/>
      <c r="HH217" s="134"/>
      <c r="HI217" s="134"/>
      <c r="HJ217" s="134"/>
      <c r="HK217" s="134"/>
      <c r="HL217" s="134"/>
      <c r="HM217" s="134"/>
      <c r="HN217" s="134"/>
      <c r="HO217" s="134"/>
      <c r="HP217" s="134"/>
      <c r="HQ217" s="134"/>
      <c r="HR217" s="134"/>
      <c r="HS217" s="134"/>
      <c r="HT217" s="134"/>
      <c r="HU217" s="134"/>
      <c r="HV217" s="134"/>
      <c r="HW217" s="134"/>
      <c r="HX217" s="134"/>
      <c r="HY217" s="134"/>
      <c r="HZ217" s="134"/>
      <c r="IA217" s="134"/>
      <c r="IB217" s="134"/>
      <c r="IC217" s="134"/>
      <c r="ID217" s="134"/>
      <c r="IE217" s="134"/>
      <c r="IF217" s="134"/>
      <c r="IG217" s="134"/>
      <c r="IH217" s="134"/>
      <c r="II217" s="134"/>
      <c r="IJ217" s="134"/>
      <c r="IK217" s="134"/>
      <c r="IL217" s="134"/>
      <c r="IM217" s="134"/>
      <c r="IN217" s="134"/>
      <c r="IO217" s="134"/>
      <c r="IP217" s="134"/>
      <c r="IQ217" s="134"/>
      <c r="IR217" s="134"/>
      <c r="IS217" s="134"/>
      <c r="IT217" s="134"/>
      <c r="IU217" s="134"/>
    </row>
    <row r="218" spans="1:255" s="16" customFormat="1" ht="96" customHeight="1" x14ac:dyDescent="0.2">
      <c r="A218" s="236" t="str">
        <f>'HECVAT - Full'!A218</f>
        <v>PHYS-01</v>
      </c>
      <c r="B218" s="236" t="str">
        <f>VLOOKUP(A218,'HECVAT - Full'!A$24:B$312,2,FALSE)</f>
        <v>Does your organization have physical security controls and policies in place?</v>
      </c>
      <c r="C218" s="269" t="s">
        <v>3039</v>
      </c>
      <c r="D218" s="242" t="s">
        <v>2912</v>
      </c>
    </row>
    <row r="219" spans="1:255" ht="105" x14ac:dyDescent="0.2">
      <c r="A219" s="236" t="str">
        <f>'HECVAT - Full'!A219</f>
        <v>PHYS-02</v>
      </c>
      <c r="B219" s="236" t="str">
        <f>VLOOKUP(A219,'HECVAT - Full'!A$24:B$312,2,FALSE)</f>
        <v>Are employees allowed to take home Institution's data in any form?</v>
      </c>
      <c r="C219" s="239" t="s">
        <v>2913</v>
      </c>
      <c r="D219" s="244" t="s">
        <v>2914</v>
      </c>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134"/>
      <c r="DT219" s="134"/>
      <c r="DU219" s="134"/>
      <c r="DV219" s="134"/>
      <c r="DW219" s="134"/>
      <c r="DX219" s="134"/>
      <c r="DY219" s="134"/>
      <c r="DZ219" s="134"/>
      <c r="EA219" s="134"/>
      <c r="EB219" s="134"/>
      <c r="EC219" s="134"/>
      <c r="ED219" s="134"/>
      <c r="EE219" s="134"/>
      <c r="EF219" s="134"/>
      <c r="EG219" s="134"/>
      <c r="EH219" s="134"/>
      <c r="EI219" s="134"/>
      <c r="EJ219" s="134"/>
      <c r="EK219" s="134"/>
      <c r="EL219" s="134"/>
      <c r="EM219" s="134"/>
      <c r="EN219" s="134"/>
      <c r="EO219" s="134"/>
      <c r="EP219" s="134"/>
      <c r="EQ219" s="134"/>
      <c r="ER219" s="134"/>
      <c r="ES219" s="134"/>
      <c r="ET219" s="134"/>
      <c r="EU219" s="134"/>
      <c r="EV219" s="134"/>
      <c r="EW219" s="134"/>
      <c r="EX219" s="134"/>
      <c r="EY219" s="134"/>
      <c r="EZ219" s="134"/>
      <c r="FA219" s="134"/>
      <c r="FB219" s="134"/>
      <c r="FC219" s="134"/>
      <c r="FD219" s="134"/>
      <c r="FE219" s="134"/>
      <c r="FF219" s="134"/>
      <c r="FG219" s="134"/>
      <c r="FH219" s="134"/>
      <c r="FI219" s="134"/>
      <c r="FJ219" s="134"/>
      <c r="FK219" s="134"/>
      <c r="FL219" s="134"/>
      <c r="FM219" s="134"/>
      <c r="FN219" s="134"/>
      <c r="FO219" s="134"/>
      <c r="FP219" s="134"/>
      <c r="FQ219" s="134"/>
      <c r="FR219" s="134"/>
      <c r="FS219" s="134"/>
      <c r="FT219" s="134"/>
      <c r="FU219" s="134"/>
      <c r="FV219" s="134"/>
      <c r="FW219" s="134"/>
      <c r="FX219" s="134"/>
      <c r="FY219" s="134"/>
      <c r="FZ219" s="134"/>
      <c r="GA219" s="134"/>
      <c r="GB219" s="134"/>
      <c r="GC219" s="134"/>
      <c r="GD219" s="134"/>
      <c r="GE219" s="134"/>
      <c r="GF219" s="134"/>
      <c r="GG219" s="134"/>
      <c r="GH219" s="134"/>
      <c r="GI219" s="134"/>
      <c r="GJ219" s="134"/>
      <c r="GK219" s="134"/>
      <c r="GL219" s="134"/>
      <c r="GM219" s="134"/>
      <c r="GN219" s="134"/>
      <c r="GO219" s="134"/>
      <c r="GP219" s="134"/>
      <c r="GQ219" s="134"/>
      <c r="GR219" s="134"/>
      <c r="GS219" s="134"/>
      <c r="GT219" s="134"/>
      <c r="GU219" s="134"/>
      <c r="GV219" s="134"/>
      <c r="GW219" s="134"/>
      <c r="GX219" s="134"/>
      <c r="GY219" s="134"/>
      <c r="GZ219" s="134"/>
      <c r="HA219" s="134"/>
      <c r="HB219" s="134"/>
      <c r="HC219" s="134"/>
      <c r="HD219" s="134"/>
      <c r="HE219" s="134"/>
      <c r="HF219" s="134"/>
      <c r="HG219" s="134"/>
      <c r="HH219" s="134"/>
      <c r="HI219" s="134"/>
      <c r="HJ219" s="134"/>
      <c r="HK219" s="134"/>
      <c r="HL219" s="134"/>
      <c r="HM219" s="134"/>
      <c r="HN219" s="134"/>
      <c r="HO219" s="134"/>
      <c r="HP219" s="134"/>
      <c r="HQ219" s="134"/>
      <c r="HR219" s="134"/>
      <c r="HS219" s="134"/>
      <c r="HT219" s="134"/>
      <c r="HU219" s="134"/>
      <c r="HV219" s="134"/>
      <c r="HW219" s="134"/>
      <c r="HX219" s="134"/>
      <c r="HY219" s="134"/>
      <c r="HZ219" s="134"/>
      <c r="IA219" s="134"/>
      <c r="IB219" s="134"/>
      <c r="IC219" s="134"/>
      <c r="ID219" s="134"/>
      <c r="IE219" s="134"/>
      <c r="IF219" s="134"/>
      <c r="IG219" s="134"/>
      <c r="IH219" s="134"/>
      <c r="II219" s="134"/>
      <c r="IJ219" s="134"/>
      <c r="IK219" s="134"/>
      <c r="IL219" s="134"/>
      <c r="IM219" s="134"/>
      <c r="IN219" s="134"/>
      <c r="IO219" s="134"/>
      <c r="IP219" s="134"/>
      <c r="IQ219" s="134"/>
      <c r="IR219" s="134"/>
      <c r="IS219" s="134"/>
      <c r="IT219" s="134"/>
      <c r="IU219" s="134"/>
    </row>
    <row r="220" spans="1:255" ht="48" customHeight="1" x14ac:dyDescent="0.2">
      <c r="A220" s="236" t="str">
        <f>'HECVAT - Full'!A220</f>
        <v>PHYS-03</v>
      </c>
      <c r="B220" s="236" t="str">
        <f>VLOOKUP(A220,'HECVAT - Full'!A$24:B$312,2,FALSE)</f>
        <v>Are video monitoring feeds retained?</v>
      </c>
      <c r="C220" s="237" t="s">
        <v>2915</v>
      </c>
      <c r="D220" s="247" t="s">
        <v>2916</v>
      </c>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c r="CZ220" s="134"/>
      <c r="DA220" s="134"/>
      <c r="DB220" s="134"/>
      <c r="DC220" s="134"/>
      <c r="DD220" s="134"/>
      <c r="DE220" s="134"/>
      <c r="DF220" s="134"/>
      <c r="DG220" s="134"/>
      <c r="DH220" s="134"/>
      <c r="DI220" s="134"/>
      <c r="DJ220" s="134"/>
      <c r="DK220" s="134"/>
      <c r="DL220" s="134"/>
      <c r="DM220" s="134"/>
      <c r="DN220" s="134"/>
      <c r="DO220" s="134"/>
      <c r="DP220" s="134"/>
      <c r="DQ220" s="134"/>
      <c r="DR220" s="134"/>
      <c r="DS220" s="134"/>
      <c r="DT220" s="134"/>
      <c r="DU220" s="134"/>
      <c r="DV220" s="134"/>
      <c r="DW220" s="134"/>
      <c r="DX220" s="134"/>
      <c r="DY220" s="134"/>
      <c r="DZ220" s="134"/>
      <c r="EA220" s="134"/>
      <c r="EB220" s="134"/>
      <c r="EC220" s="134"/>
      <c r="ED220" s="134"/>
      <c r="EE220" s="134"/>
      <c r="EF220" s="134"/>
      <c r="EG220" s="134"/>
      <c r="EH220" s="134"/>
      <c r="EI220" s="134"/>
      <c r="EJ220" s="134"/>
      <c r="EK220" s="134"/>
      <c r="EL220" s="134"/>
      <c r="EM220" s="134"/>
      <c r="EN220" s="134"/>
      <c r="EO220" s="134"/>
      <c r="EP220" s="134"/>
      <c r="EQ220" s="134"/>
      <c r="ER220" s="134"/>
      <c r="ES220" s="134"/>
      <c r="ET220" s="134"/>
      <c r="EU220" s="134"/>
      <c r="EV220" s="134"/>
      <c r="EW220" s="134"/>
      <c r="EX220" s="134"/>
      <c r="EY220" s="134"/>
      <c r="EZ220" s="134"/>
      <c r="FA220" s="134"/>
      <c r="FB220" s="134"/>
      <c r="FC220" s="134"/>
      <c r="FD220" s="134"/>
      <c r="FE220" s="134"/>
      <c r="FF220" s="134"/>
      <c r="FG220" s="134"/>
      <c r="FH220" s="134"/>
      <c r="FI220" s="134"/>
      <c r="FJ220" s="134"/>
      <c r="FK220" s="134"/>
      <c r="FL220" s="134"/>
      <c r="FM220" s="134"/>
      <c r="FN220" s="134"/>
      <c r="FO220" s="134"/>
      <c r="FP220" s="134"/>
      <c r="FQ220" s="134"/>
      <c r="FR220" s="134"/>
      <c r="FS220" s="134"/>
      <c r="FT220" s="134"/>
      <c r="FU220" s="134"/>
      <c r="FV220" s="134"/>
      <c r="FW220" s="134"/>
      <c r="FX220" s="134"/>
      <c r="FY220" s="134"/>
      <c r="FZ220" s="134"/>
      <c r="GA220" s="134"/>
      <c r="GB220" s="134"/>
      <c r="GC220" s="134"/>
      <c r="GD220" s="134"/>
      <c r="GE220" s="134"/>
      <c r="GF220" s="134"/>
      <c r="GG220" s="134"/>
      <c r="GH220" s="134"/>
      <c r="GI220" s="134"/>
      <c r="GJ220" s="134"/>
      <c r="GK220" s="134"/>
      <c r="GL220" s="134"/>
      <c r="GM220" s="134"/>
      <c r="GN220" s="134"/>
      <c r="GO220" s="134"/>
      <c r="GP220" s="134"/>
      <c r="GQ220" s="134"/>
      <c r="GR220" s="134"/>
      <c r="GS220" s="134"/>
      <c r="GT220" s="134"/>
      <c r="GU220" s="134"/>
      <c r="GV220" s="134"/>
      <c r="GW220" s="134"/>
      <c r="GX220" s="134"/>
      <c r="GY220" s="134"/>
      <c r="GZ220" s="134"/>
      <c r="HA220" s="134"/>
      <c r="HB220" s="134"/>
      <c r="HC220" s="134"/>
      <c r="HD220" s="134"/>
      <c r="HE220" s="134"/>
      <c r="HF220" s="134"/>
      <c r="HG220" s="134"/>
      <c r="HH220" s="134"/>
      <c r="HI220" s="134"/>
      <c r="HJ220" s="134"/>
      <c r="HK220" s="134"/>
      <c r="HL220" s="134"/>
      <c r="HM220" s="134"/>
      <c r="HN220" s="134"/>
      <c r="HO220" s="134"/>
      <c r="HP220" s="134"/>
      <c r="HQ220" s="134"/>
      <c r="HR220" s="134"/>
      <c r="HS220" s="134"/>
      <c r="HT220" s="134"/>
      <c r="HU220" s="134"/>
      <c r="HV220" s="134"/>
      <c r="HW220" s="134"/>
      <c r="HX220" s="134"/>
      <c r="HY220" s="134"/>
      <c r="HZ220" s="134"/>
      <c r="IA220" s="134"/>
      <c r="IB220" s="134"/>
      <c r="IC220" s="134"/>
      <c r="ID220" s="134"/>
      <c r="IE220" s="134"/>
      <c r="IF220" s="134"/>
      <c r="IG220" s="134"/>
      <c r="IH220" s="134"/>
      <c r="II220" s="134"/>
      <c r="IJ220" s="134"/>
      <c r="IK220" s="134"/>
      <c r="IL220" s="134"/>
      <c r="IM220" s="134"/>
      <c r="IN220" s="134"/>
      <c r="IO220" s="134"/>
      <c r="IP220" s="134"/>
      <c r="IQ220" s="134"/>
      <c r="IR220" s="134"/>
      <c r="IS220" s="134"/>
      <c r="IT220" s="134"/>
      <c r="IU220" s="134"/>
    </row>
    <row r="221" spans="1:255" ht="48" customHeight="1" x14ac:dyDescent="0.2">
      <c r="A221" s="236" t="str">
        <f>'HECVAT - Full'!A221</f>
        <v>PHYS-04</v>
      </c>
      <c r="B221" s="236" t="str">
        <f>VLOOKUP(A221,'HECVAT - Full'!A$24:B$312,2,FALSE)</f>
        <v>Are video feeds monitored by datacenter staff?</v>
      </c>
      <c r="C221" s="237" t="s">
        <v>2915</v>
      </c>
      <c r="D221" s="247" t="s">
        <v>2917</v>
      </c>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34"/>
      <c r="BQ221" s="134"/>
      <c r="BR221" s="134"/>
      <c r="BS221" s="134"/>
      <c r="BT221" s="134"/>
      <c r="BU221" s="134"/>
      <c r="BV221" s="134"/>
      <c r="BW221" s="134"/>
      <c r="BX221" s="134"/>
      <c r="BY221" s="134"/>
      <c r="BZ221" s="134"/>
      <c r="CA221" s="134"/>
      <c r="CB221" s="134"/>
      <c r="CC221" s="134"/>
      <c r="CD221" s="134"/>
      <c r="CE221" s="134"/>
      <c r="CF221" s="134"/>
      <c r="CG221" s="134"/>
      <c r="CH221" s="134"/>
      <c r="CI221" s="134"/>
      <c r="CJ221" s="134"/>
      <c r="CK221" s="134"/>
      <c r="CL221" s="134"/>
      <c r="CM221" s="134"/>
      <c r="CN221" s="134"/>
      <c r="CO221" s="134"/>
      <c r="CP221" s="134"/>
      <c r="CQ221" s="134"/>
      <c r="CR221" s="134"/>
      <c r="CS221" s="134"/>
      <c r="CT221" s="134"/>
      <c r="CU221" s="134"/>
      <c r="CV221" s="134"/>
      <c r="CW221" s="134"/>
      <c r="CX221" s="134"/>
      <c r="CY221" s="134"/>
      <c r="CZ221" s="134"/>
      <c r="DA221" s="134"/>
      <c r="DB221" s="134"/>
      <c r="DC221" s="134"/>
      <c r="DD221" s="134"/>
      <c r="DE221" s="134"/>
      <c r="DF221" s="134"/>
      <c r="DG221" s="134"/>
      <c r="DH221" s="134"/>
      <c r="DI221" s="134"/>
      <c r="DJ221" s="134"/>
      <c r="DK221" s="134"/>
      <c r="DL221" s="134"/>
      <c r="DM221" s="134"/>
      <c r="DN221" s="134"/>
      <c r="DO221" s="134"/>
      <c r="DP221" s="134"/>
      <c r="DQ221" s="134"/>
      <c r="DR221" s="134"/>
      <c r="DS221" s="134"/>
      <c r="DT221" s="134"/>
      <c r="DU221" s="134"/>
      <c r="DV221" s="134"/>
      <c r="DW221" s="134"/>
      <c r="DX221" s="134"/>
      <c r="DY221" s="134"/>
      <c r="DZ221" s="134"/>
      <c r="EA221" s="134"/>
      <c r="EB221" s="134"/>
      <c r="EC221" s="134"/>
      <c r="ED221" s="134"/>
      <c r="EE221" s="134"/>
      <c r="EF221" s="134"/>
      <c r="EG221" s="134"/>
      <c r="EH221" s="134"/>
      <c r="EI221" s="134"/>
      <c r="EJ221" s="134"/>
      <c r="EK221" s="134"/>
      <c r="EL221" s="134"/>
      <c r="EM221" s="134"/>
      <c r="EN221" s="134"/>
      <c r="EO221" s="134"/>
      <c r="EP221" s="134"/>
      <c r="EQ221" s="134"/>
      <c r="ER221" s="134"/>
      <c r="ES221" s="134"/>
      <c r="ET221" s="134"/>
      <c r="EU221" s="134"/>
      <c r="EV221" s="134"/>
      <c r="EW221" s="134"/>
      <c r="EX221" s="134"/>
      <c r="EY221" s="134"/>
      <c r="EZ221" s="134"/>
      <c r="FA221" s="134"/>
      <c r="FB221" s="134"/>
      <c r="FC221" s="134"/>
      <c r="FD221" s="134"/>
      <c r="FE221" s="134"/>
      <c r="FF221" s="134"/>
      <c r="FG221" s="134"/>
      <c r="FH221" s="134"/>
      <c r="FI221" s="134"/>
      <c r="FJ221" s="134"/>
      <c r="FK221" s="134"/>
      <c r="FL221" s="134"/>
      <c r="FM221" s="134"/>
      <c r="FN221" s="134"/>
      <c r="FO221" s="134"/>
      <c r="FP221" s="134"/>
      <c r="FQ221" s="134"/>
      <c r="FR221" s="134"/>
      <c r="FS221" s="134"/>
      <c r="FT221" s="134"/>
      <c r="FU221" s="134"/>
      <c r="FV221" s="134"/>
      <c r="FW221" s="134"/>
      <c r="FX221" s="134"/>
      <c r="FY221" s="134"/>
      <c r="FZ221" s="134"/>
      <c r="GA221" s="134"/>
      <c r="GB221" s="134"/>
      <c r="GC221" s="134"/>
      <c r="GD221" s="134"/>
      <c r="GE221" s="134"/>
      <c r="GF221" s="134"/>
      <c r="GG221" s="134"/>
      <c r="GH221" s="134"/>
      <c r="GI221" s="134"/>
      <c r="GJ221" s="134"/>
      <c r="GK221" s="134"/>
      <c r="GL221" s="134"/>
      <c r="GM221" s="134"/>
      <c r="GN221" s="134"/>
      <c r="GO221" s="134"/>
      <c r="GP221" s="134"/>
      <c r="GQ221" s="134"/>
      <c r="GR221" s="134"/>
      <c r="GS221" s="134"/>
      <c r="GT221" s="134"/>
      <c r="GU221" s="134"/>
      <c r="GV221" s="134"/>
      <c r="GW221" s="134"/>
      <c r="GX221" s="134"/>
      <c r="GY221" s="134"/>
      <c r="GZ221" s="134"/>
      <c r="HA221" s="134"/>
      <c r="HB221" s="134"/>
      <c r="HC221" s="134"/>
      <c r="HD221" s="134"/>
      <c r="HE221" s="134"/>
      <c r="HF221" s="134"/>
      <c r="HG221" s="134"/>
      <c r="HH221" s="134"/>
      <c r="HI221" s="134"/>
      <c r="HJ221" s="134"/>
      <c r="HK221" s="134"/>
      <c r="HL221" s="134"/>
      <c r="HM221" s="134"/>
      <c r="HN221" s="134"/>
      <c r="HO221" s="134"/>
      <c r="HP221" s="134"/>
      <c r="HQ221" s="134"/>
      <c r="HR221" s="134"/>
      <c r="HS221" s="134"/>
      <c r="HT221" s="134"/>
      <c r="HU221" s="134"/>
      <c r="HV221" s="134"/>
      <c r="HW221" s="134"/>
      <c r="HX221" s="134"/>
      <c r="HY221" s="134"/>
      <c r="HZ221" s="134"/>
      <c r="IA221" s="134"/>
      <c r="IB221" s="134"/>
      <c r="IC221" s="134"/>
      <c r="ID221" s="134"/>
      <c r="IE221" s="134"/>
      <c r="IF221" s="134"/>
      <c r="IG221" s="134"/>
      <c r="IH221" s="134"/>
      <c r="II221" s="134"/>
      <c r="IJ221" s="134"/>
      <c r="IK221" s="134"/>
      <c r="IL221" s="134"/>
      <c r="IM221" s="134"/>
      <c r="IN221" s="134"/>
      <c r="IO221" s="134"/>
      <c r="IP221" s="134"/>
      <c r="IQ221" s="134"/>
      <c r="IR221" s="134"/>
      <c r="IS221" s="134"/>
      <c r="IT221" s="134"/>
      <c r="IU221" s="134"/>
    </row>
    <row r="222" spans="1:255" ht="84" customHeight="1" x14ac:dyDescent="0.2">
      <c r="A222" s="236" t="str">
        <f>'HECVAT - Full'!A222</f>
        <v>PHYS-05</v>
      </c>
      <c r="B222" s="236" t="str">
        <f>VLOOKUP(A222,'HECVAT - Full'!A$24:B$312,2,FALSE)</f>
        <v>Are individuals required to sign in/out for installation and removal of equipment?</v>
      </c>
      <c r="C222" s="239" t="s">
        <v>2918</v>
      </c>
      <c r="D222" s="243" t="s">
        <v>2840</v>
      </c>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c r="CZ222" s="134"/>
      <c r="DA222" s="134"/>
      <c r="DB222" s="134"/>
      <c r="DC222" s="134"/>
      <c r="DD222" s="134"/>
      <c r="DE222" s="134"/>
      <c r="DF222" s="134"/>
      <c r="DG222" s="134"/>
      <c r="DH222" s="134"/>
      <c r="DI222" s="134"/>
      <c r="DJ222" s="134"/>
      <c r="DK222" s="134"/>
      <c r="DL222" s="134"/>
      <c r="DM222" s="134"/>
      <c r="DN222" s="134"/>
      <c r="DO222" s="134"/>
      <c r="DP222" s="134"/>
      <c r="DQ222" s="134"/>
      <c r="DR222" s="134"/>
      <c r="DS222" s="134"/>
      <c r="DT222" s="134"/>
      <c r="DU222" s="134"/>
      <c r="DV222" s="134"/>
      <c r="DW222" s="134"/>
      <c r="DX222" s="134"/>
      <c r="DY222" s="134"/>
      <c r="DZ222" s="134"/>
      <c r="EA222" s="134"/>
      <c r="EB222" s="134"/>
      <c r="EC222" s="134"/>
      <c r="ED222" s="134"/>
      <c r="EE222" s="134"/>
      <c r="EF222" s="134"/>
      <c r="EG222" s="134"/>
      <c r="EH222" s="134"/>
      <c r="EI222" s="134"/>
      <c r="EJ222" s="134"/>
      <c r="EK222" s="134"/>
      <c r="EL222" s="134"/>
      <c r="EM222" s="134"/>
      <c r="EN222" s="134"/>
      <c r="EO222" s="134"/>
      <c r="EP222" s="134"/>
      <c r="EQ222" s="134"/>
      <c r="ER222" s="134"/>
      <c r="ES222" s="134"/>
      <c r="ET222" s="134"/>
      <c r="EU222" s="134"/>
      <c r="EV222" s="134"/>
      <c r="EW222" s="134"/>
      <c r="EX222" s="134"/>
      <c r="EY222" s="134"/>
      <c r="EZ222" s="134"/>
      <c r="FA222" s="134"/>
      <c r="FB222" s="134"/>
      <c r="FC222" s="134"/>
      <c r="FD222" s="134"/>
      <c r="FE222" s="134"/>
      <c r="FF222" s="134"/>
      <c r="FG222" s="134"/>
      <c r="FH222" s="134"/>
      <c r="FI222" s="134"/>
      <c r="FJ222" s="134"/>
      <c r="FK222" s="134"/>
      <c r="FL222" s="134"/>
      <c r="FM222" s="134"/>
      <c r="FN222" s="134"/>
      <c r="FO222" s="134"/>
      <c r="FP222" s="134"/>
      <c r="FQ222" s="134"/>
      <c r="FR222" s="134"/>
      <c r="FS222" s="134"/>
      <c r="FT222" s="134"/>
      <c r="FU222" s="134"/>
      <c r="FV222" s="134"/>
      <c r="FW222" s="134"/>
      <c r="FX222" s="134"/>
      <c r="FY222" s="134"/>
      <c r="FZ222" s="134"/>
      <c r="GA222" s="134"/>
      <c r="GB222" s="134"/>
      <c r="GC222" s="134"/>
      <c r="GD222" s="134"/>
      <c r="GE222" s="134"/>
      <c r="GF222" s="134"/>
      <c r="GG222" s="134"/>
      <c r="GH222" s="134"/>
      <c r="GI222" s="134"/>
      <c r="GJ222" s="134"/>
      <c r="GK222" s="134"/>
      <c r="GL222" s="134"/>
      <c r="GM222" s="134"/>
      <c r="GN222" s="134"/>
      <c r="GO222" s="134"/>
      <c r="GP222" s="134"/>
      <c r="GQ222" s="134"/>
      <c r="GR222" s="134"/>
      <c r="GS222" s="134"/>
      <c r="GT222" s="134"/>
      <c r="GU222" s="134"/>
      <c r="GV222" s="134"/>
      <c r="GW222" s="134"/>
      <c r="GX222" s="134"/>
      <c r="GY222" s="134"/>
      <c r="GZ222" s="134"/>
      <c r="HA222" s="134"/>
      <c r="HB222" s="134"/>
      <c r="HC222" s="134"/>
      <c r="HD222" s="134"/>
      <c r="HE222" s="134"/>
      <c r="HF222" s="134"/>
      <c r="HG222" s="134"/>
      <c r="HH222" s="134"/>
      <c r="HI222" s="134"/>
      <c r="HJ222" s="134"/>
      <c r="HK222" s="134"/>
      <c r="HL222" s="134"/>
      <c r="HM222" s="134"/>
      <c r="HN222" s="134"/>
      <c r="HO222" s="134"/>
      <c r="HP222" s="134"/>
      <c r="HQ222" s="134"/>
      <c r="HR222" s="134"/>
      <c r="HS222" s="134"/>
      <c r="HT222" s="134"/>
      <c r="HU222" s="134"/>
      <c r="HV222" s="134"/>
      <c r="HW222" s="134"/>
      <c r="HX222" s="134"/>
      <c r="HY222" s="134"/>
      <c r="HZ222" s="134"/>
      <c r="IA222" s="134"/>
      <c r="IB222" s="134"/>
      <c r="IC222" s="134"/>
      <c r="ID222" s="134"/>
      <c r="IE222" s="134"/>
      <c r="IF222" s="134"/>
      <c r="IG222" s="134"/>
      <c r="IH222" s="134"/>
      <c r="II222" s="134"/>
      <c r="IJ222" s="134"/>
      <c r="IK222" s="134"/>
      <c r="IL222" s="134"/>
      <c r="IM222" s="134"/>
      <c r="IN222" s="134"/>
      <c r="IO222" s="134"/>
      <c r="IP222" s="134"/>
      <c r="IQ222" s="134"/>
      <c r="IR222" s="134"/>
      <c r="IS222" s="134"/>
      <c r="IT222" s="134"/>
      <c r="IU222" s="134"/>
    </row>
    <row r="223" spans="1:255" ht="36" customHeight="1" x14ac:dyDescent="0.2">
      <c r="A223" s="341" t="str">
        <f>IF($C$30="","Policies, Procedures, and Processes",IF($C$30="Yes","Pol/Pro/Proc - Optional based on QUALIFIER response.","Policies, Procedures, and Processes"))</f>
        <v>Policies, Procedures, and Processes</v>
      </c>
      <c r="B223" s="341"/>
      <c r="C223" s="234" t="str">
        <f>$C$22</f>
        <v>Reason for Question</v>
      </c>
      <c r="D223" s="234" t="str">
        <f>$D$22</f>
        <v>Follow-up Inquiries/Responses</v>
      </c>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c r="CZ223" s="134"/>
      <c r="DA223" s="134"/>
      <c r="DB223" s="134"/>
      <c r="DC223" s="134"/>
      <c r="DD223" s="134"/>
      <c r="DE223" s="134"/>
      <c r="DF223" s="134"/>
      <c r="DG223" s="134"/>
      <c r="DH223" s="134"/>
      <c r="DI223" s="134"/>
      <c r="DJ223" s="134"/>
      <c r="DK223" s="134"/>
      <c r="DL223" s="134"/>
      <c r="DM223" s="134"/>
      <c r="DN223" s="134"/>
      <c r="DO223" s="134"/>
      <c r="DP223" s="134"/>
      <c r="DQ223" s="134"/>
      <c r="DR223" s="134"/>
      <c r="DS223" s="134"/>
      <c r="DT223" s="134"/>
      <c r="DU223" s="134"/>
      <c r="DV223" s="134"/>
      <c r="DW223" s="134"/>
      <c r="DX223" s="134"/>
      <c r="DY223" s="134"/>
      <c r="DZ223" s="134"/>
      <c r="EA223" s="134"/>
      <c r="EB223" s="134"/>
      <c r="EC223" s="134"/>
      <c r="ED223" s="134"/>
      <c r="EE223" s="134"/>
      <c r="EF223" s="134"/>
      <c r="EG223" s="134"/>
      <c r="EH223" s="134"/>
      <c r="EI223" s="134"/>
      <c r="EJ223" s="134"/>
      <c r="EK223" s="134"/>
      <c r="EL223" s="134"/>
      <c r="EM223" s="134"/>
      <c r="EN223" s="134"/>
      <c r="EO223" s="134"/>
      <c r="EP223" s="134"/>
      <c r="EQ223" s="134"/>
      <c r="ER223" s="134"/>
      <c r="ES223" s="134"/>
      <c r="ET223" s="134"/>
      <c r="EU223" s="134"/>
      <c r="EV223" s="134"/>
      <c r="EW223" s="134"/>
      <c r="EX223" s="134"/>
      <c r="EY223" s="134"/>
      <c r="EZ223" s="134"/>
      <c r="FA223" s="134"/>
      <c r="FB223" s="134"/>
      <c r="FC223" s="134"/>
      <c r="FD223" s="134"/>
      <c r="FE223" s="134"/>
      <c r="FF223" s="134"/>
      <c r="FG223" s="134"/>
      <c r="FH223" s="134"/>
      <c r="FI223" s="134"/>
      <c r="FJ223" s="134"/>
      <c r="FK223" s="134"/>
      <c r="FL223" s="134"/>
      <c r="FM223" s="134"/>
      <c r="FN223" s="134"/>
      <c r="FO223" s="134"/>
      <c r="FP223" s="134"/>
      <c r="FQ223" s="134"/>
      <c r="FR223" s="134"/>
      <c r="FS223" s="134"/>
      <c r="FT223" s="134"/>
      <c r="FU223" s="134"/>
      <c r="FV223" s="134"/>
      <c r="FW223" s="134"/>
      <c r="FX223" s="134"/>
      <c r="FY223" s="134"/>
      <c r="FZ223" s="134"/>
      <c r="GA223" s="134"/>
      <c r="GB223" s="134"/>
      <c r="GC223" s="134"/>
      <c r="GD223" s="134"/>
      <c r="GE223" s="134"/>
      <c r="GF223" s="134"/>
      <c r="GG223" s="134"/>
      <c r="GH223" s="134"/>
      <c r="GI223" s="134"/>
      <c r="GJ223" s="134"/>
      <c r="GK223" s="134"/>
      <c r="GL223" s="134"/>
      <c r="GM223" s="134"/>
      <c r="GN223" s="134"/>
      <c r="GO223" s="134"/>
      <c r="GP223" s="134"/>
      <c r="GQ223" s="134"/>
      <c r="GR223" s="134"/>
      <c r="GS223" s="134"/>
      <c r="GT223" s="134"/>
      <c r="GU223" s="134"/>
      <c r="GV223" s="134"/>
      <c r="GW223" s="134"/>
      <c r="GX223" s="134"/>
      <c r="GY223" s="134"/>
      <c r="GZ223" s="134"/>
      <c r="HA223" s="134"/>
      <c r="HB223" s="134"/>
      <c r="HC223" s="134"/>
      <c r="HD223" s="134"/>
      <c r="HE223" s="134"/>
      <c r="HF223" s="134"/>
      <c r="HG223" s="134"/>
      <c r="HH223" s="134"/>
      <c r="HI223" s="134"/>
      <c r="HJ223" s="134"/>
      <c r="HK223" s="134"/>
      <c r="HL223" s="134"/>
      <c r="HM223" s="134"/>
      <c r="HN223" s="134"/>
      <c r="HO223" s="134"/>
      <c r="HP223" s="134"/>
      <c r="HQ223" s="134"/>
      <c r="HR223" s="134"/>
      <c r="HS223" s="134"/>
      <c r="HT223" s="134"/>
      <c r="HU223" s="134"/>
      <c r="HV223" s="134"/>
      <c r="HW223" s="134"/>
      <c r="HX223" s="134"/>
      <c r="HY223" s="134"/>
      <c r="HZ223" s="134"/>
      <c r="IA223" s="134"/>
      <c r="IB223" s="134"/>
      <c r="IC223" s="134"/>
      <c r="ID223" s="134"/>
      <c r="IE223" s="134"/>
      <c r="IF223" s="134"/>
      <c r="IG223" s="134"/>
      <c r="IH223" s="134"/>
      <c r="II223" s="134"/>
      <c r="IJ223" s="134"/>
      <c r="IK223" s="134"/>
      <c r="IL223" s="134"/>
      <c r="IM223" s="134"/>
      <c r="IN223" s="134"/>
      <c r="IO223" s="134"/>
      <c r="IP223" s="134"/>
      <c r="IQ223" s="134"/>
      <c r="IR223" s="134"/>
      <c r="IS223" s="134"/>
      <c r="IT223" s="134"/>
      <c r="IU223" s="134"/>
    </row>
    <row r="224" spans="1:255" ht="120" x14ac:dyDescent="0.2">
      <c r="A224" s="236" t="str">
        <f>'HECVAT - Full'!A224</f>
        <v>PPPR-01</v>
      </c>
      <c r="B224" s="236" t="str">
        <f>VLOOKUP(A224,'HECVAT - Full'!A$24:B$312,2,FALSE)</f>
        <v>Can you share the organization chart, mission statement, and policies for your information security unit?</v>
      </c>
      <c r="C224" s="239" t="s">
        <v>2919</v>
      </c>
      <c r="D224" s="243" t="s">
        <v>2920</v>
      </c>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c r="CZ224" s="134"/>
      <c r="DA224" s="134"/>
      <c r="DB224" s="134"/>
      <c r="DC224" s="134"/>
      <c r="DD224" s="134"/>
      <c r="DE224" s="134"/>
      <c r="DF224" s="134"/>
      <c r="DG224" s="134"/>
      <c r="DH224" s="134"/>
      <c r="DI224" s="134"/>
      <c r="DJ224" s="134"/>
      <c r="DK224" s="134"/>
      <c r="DL224" s="134"/>
      <c r="DM224" s="134"/>
      <c r="DN224" s="134"/>
      <c r="DO224" s="134"/>
      <c r="DP224" s="134"/>
      <c r="DQ224" s="134"/>
      <c r="DR224" s="134"/>
      <c r="DS224" s="134"/>
      <c r="DT224" s="134"/>
      <c r="DU224" s="134"/>
      <c r="DV224" s="134"/>
      <c r="DW224" s="134"/>
      <c r="DX224" s="134"/>
      <c r="DY224" s="134"/>
      <c r="DZ224" s="134"/>
      <c r="EA224" s="134"/>
      <c r="EB224" s="134"/>
      <c r="EC224" s="134"/>
      <c r="ED224" s="134"/>
      <c r="EE224" s="134"/>
      <c r="EF224" s="134"/>
      <c r="EG224" s="134"/>
      <c r="EH224" s="134"/>
      <c r="EI224" s="134"/>
      <c r="EJ224" s="134"/>
      <c r="EK224" s="134"/>
      <c r="EL224" s="134"/>
      <c r="EM224" s="134"/>
      <c r="EN224" s="134"/>
      <c r="EO224" s="134"/>
      <c r="EP224" s="134"/>
      <c r="EQ224" s="134"/>
      <c r="ER224" s="134"/>
      <c r="ES224" s="134"/>
      <c r="ET224" s="134"/>
      <c r="EU224" s="134"/>
      <c r="EV224" s="134"/>
      <c r="EW224" s="134"/>
      <c r="EX224" s="134"/>
      <c r="EY224" s="134"/>
      <c r="EZ224" s="134"/>
      <c r="FA224" s="134"/>
      <c r="FB224" s="134"/>
      <c r="FC224" s="134"/>
      <c r="FD224" s="134"/>
      <c r="FE224" s="134"/>
      <c r="FF224" s="134"/>
      <c r="FG224" s="134"/>
      <c r="FH224" s="134"/>
      <c r="FI224" s="134"/>
      <c r="FJ224" s="134"/>
      <c r="FK224" s="134"/>
      <c r="FL224" s="134"/>
      <c r="FM224" s="134"/>
      <c r="FN224" s="134"/>
      <c r="FO224" s="134"/>
      <c r="FP224" s="134"/>
      <c r="FQ224" s="134"/>
      <c r="FR224" s="134"/>
      <c r="FS224" s="134"/>
      <c r="FT224" s="134"/>
      <c r="FU224" s="134"/>
      <c r="FV224" s="134"/>
      <c r="FW224" s="134"/>
      <c r="FX224" s="134"/>
      <c r="FY224" s="134"/>
      <c r="FZ224" s="134"/>
      <c r="GA224" s="134"/>
      <c r="GB224" s="134"/>
      <c r="GC224" s="134"/>
      <c r="GD224" s="134"/>
      <c r="GE224" s="134"/>
      <c r="GF224" s="134"/>
      <c r="GG224" s="134"/>
      <c r="GH224" s="134"/>
      <c r="GI224" s="134"/>
      <c r="GJ224" s="134"/>
      <c r="GK224" s="134"/>
      <c r="GL224" s="134"/>
      <c r="GM224" s="134"/>
      <c r="GN224" s="134"/>
      <c r="GO224" s="134"/>
      <c r="GP224" s="134"/>
      <c r="GQ224" s="134"/>
      <c r="GR224" s="134"/>
      <c r="GS224" s="134"/>
      <c r="GT224" s="134"/>
      <c r="GU224" s="134"/>
      <c r="GV224" s="134"/>
      <c r="GW224" s="134"/>
      <c r="GX224" s="134"/>
      <c r="GY224" s="134"/>
      <c r="GZ224" s="134"/>
      <c r="HA224" s="134"/>
      <c r="HB224" s="134"/>
      <c r="HC224" s="134"/>
      <c r="HD224" s="134"/>
      <c r="HE224" s="134"/>
      <c r="HF224" s="134"/>
      <c r="HG224" s="134"/>
      <c r="HH224" s="134"/>
      <c r="HI224" s="134"/>
      <c r="HJ224" s="134"/>
      <c r="HK224" s="134"/>
      <c r="HL224" s="134"/>
      <c r="HM224" s="134"/>
      <c r="HN224" s="134"/>
      <c r="HO224" s="134"/>
      <c r="HP224" s="134"/>
      <c r="HQ224" s="134"/>
      <c r="HR224" s="134"/>
      <c r="HS224" s="134"/>
      <c r="HT224" s="134"/>
      <c r="HU224" s="134"/>
      <c r="HV224" s="134"/>
      <c r="HW224" s="134"/>
      <c r="HX224" s="134"/>
      <c r="HY224" s="134"/>
      <c r="HZ224" s="134"/>
      <c r="IA224" s="134"/>
      <c r="IB224" s="134"/>
      <c r="IC224" s="134"/>
      <c r="ID224" s="134"/>
      <c r="IE224" s="134"/>
      <c r="IF224" s="134"/>
      <c r="IG224" s="134"/>
      <c r="IH224" s="134"/>
      <c r="II224" s="134"/>
      <c r="IJ224" s="134"/>
      <c r="IK224" s="134"/>
      <c r="IL224" s="134"/>
      <c r="IM224" s="134"/>
      <c r="IN224" s="134"/>
      <c r="IO224" s="134"/>
      <c r="IP224" s="134"/>
      <c r="IQ224" s="134"/>
      <c r="IR224" s="134"/>
      <c r="IS224" s="134"/>
      <c r="IT224" s="134"/>
      <c r="IU224" s="134"/>
    </row>
    <row r="225" spans="1:255" ht="75" x14ac:dyDescent="0.2">
      <c r="A225" s="236" t="str">
        <f>'HECVAT - Full'!A225</f>
        <v>PPPR-02</v>
      </c>
      <c r="B225" s="236" t="str">
        <f>VLOOKUP(A225,'HECVAT - Full'!A$24:B$312,2,FALSE)</f>
        <v>Do you have a documented patch management process?</v>
      </c>
      <c r="C225" s="239" t="s">
        <v>2921</v>
      </c>
      <c r="D225" s="239" t="s">
        <v>2922</v>
      </c>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c r="CZ225" s="134"/>
      <c r="DA225" s="134"/>
      <c r="DB225" s="134"/>
      <c r="DC225" s="134"/>
      <c r="DD225" s="134"/>
      <c r="DE225" s="134"/>
      <c r="DF225" s="134"/>
      <c r="DG225" s="134"/>
      <c r="DH225" s="134"/>
      <c r="DI225" s="134"/>
      <c r="DJ225" s="134"/>
      <c r="DK225" s="134"/>
      <c r="DL225" s="134"/>
      <c r="DM225" s="134"/>
      <c r="DN225" s="134"/>
      <c r="DO225" s="134"/>
      <c r="DP225" s="134"/>
      <c r="DQ225" s="134"/>
      <c r="DR225" s="134"/>
      <c r="DS225" s="134"/>
      <c r="DT225" s="134"/>
      <c r="DU225" s="134"/>
      <c r="DV225" s="134"/>
      <c r="DW225" s="134"/>
      <c r="DX225" s="134"/>
      <c r="DY225" s="134"/>
      <c r="DZ225" s="134"/>
      <c r="EA225" s="134"/>
      <c r="EB225" s="134"/>
      <c r="EC225" s="134"/>
      <c r="ED225" s="134"/>
      <c r="EE225" s="134"/>
      <c r="EF225" s="134"/>
      <c r="EG225" s="134"/>
      <c r="EH225" s="134"/>
      <c r="EI225" s="134"/>
      <c r="EJ225" s="134"/>
      <c r="EK225" s="134"/>
      <c r="EL225" s="134"/>
      <c r="EM225" s="134"/>
      <c r="EN225" s="134"/>
      <c r="EO225" s="134"/>
      <c r="EP225" s="134"/>
      <c r="EQ225" s="134"/>
      <c r="ER225" s="134"/>
      <c r="ES225" s="134"/>
      <c r="ET225" s="134"/>
      <c r="EU225" s="134"/>
      <c r="EV225" s="134"/>
      <c r="EW225" s="134"/>
      <c r="EX225" s="134"/>
      <c r="EY225" s="134"/>
      <c r="EZ225" s="134"/>
      <c r="FA225" s="134"/>
      <c r="FB225" s="134"/>
      <c r="FC225" s="134"/>
      <c r="FD225" s="134"/>
      <c r="FE225" s="134"/>
      <c r="FF225" s="134"/>
      <c r="FG225" s="134"/>
      <c r="FH225" s="134"/>
      <c r="FI225" s="134"/>
      <c r="FJ225" s="134"/>
      <c r="FK225" s="134"/>
      <c r="FL225" s="134"/>
      <c r="FM225" s="134"/>
      <c r="FN225" s="134"/>
      <c r="FO225" s="134"/>
      <c r="FP225" s="134"/>
      <c r="FQ225" s="134"/>
      <c r="FR225" s="134"/>
      <c r="FS225" s="134"/>
      <c r="FT225" s="134"/>
      <c r="FU225" s="134"/>
      <c r="FV225" s="134"/>
      <c r="FW225" s="134"/>
      <c r="FX225" s="134"/>
      <c r="FY225" s="134"/>
      <c r="FZ225" s="134"/>
      <c r="GA225" s="134"/>
      <c r="GB225" s="134"/>
      <c r="GC225" s="134"/>
      <c r="GD225" s="134"/>
      <c r="GE225" s="134"/>
      <c r="GF225" s="134"/>
      <c r="GG225" s="134"/>
      <c r="GH225" s="134"/>
      <c r="GI225" s="134"/>
      <c r="GJ225" s="134"/>
      <c r="GK225" s="134"/>
      <c r="GL225" s="134"/>
      <c r="GM225" s="134"/>
      <c r="GN225" s="134"/>
      <c r="GO225" s="134"/>
      <c r="GP225" s="134"/>
      <c r="GQ225" s="134"/>
      <c r="GR225" s="134"/>
      <c r="GS225" s="134"/>
      <c r="GT225" s="134"/>
      <c r="GU225" s="134"/>
      <c r="GV225" s="134"/>
      <c r="GW225" s="134"/>
      <c r="GX225" s="134"/>
      <c r="GY225" s="134"/>
      <c r="GZ225" s="134"/>
      <c r="HA225" s="134"/>
      <c r="HB225" s="134"/>
      <c r="HC225" s="134"/>
      <c r="HD225" s="134"/>
      <c r="HE225" s="134"/>
      <c r="HF225" s="134"/>
      <c r="HG225" s="134"/>
      <c r="HH225" s="134"/>
      <c r="HI225" s="134"/>
      <c r="HJ225" s="134"/>
      <c r="HK225" s="134"/>
      <c r="HL225" s="134"/>
      <c r="HM225" s="134"/>
      <c r="HN225" s="134"/>
      <c r="HO225" s="134"/>
      <c r="HP225" s="134"/>
      <c r="HQ225" s="134"/>
      <c r="HR225" s="134"/>
      <c r="HS225" s="134"/>
      <c r="HT225" s="134"/>
      <c r="HU225" s="134"/>
      <c r="HV225" s="134"/>
      <c r="HW225" s="134"/>
      <c r="HX225" s="134"/>
      <c r="HY225" s="134"/>
      <c r="HZ225" s="134"/>
      <c r="IA225" s="134"/>
      <c r="IB225" s="134"/>
      <c r="IC225" s="134"/>
      <c r="ID225" s="134"/>
      <c r="IE225" s="134"/>
      <c r="IF225" s="134"/>
      <c r="IG225" s="134"/>
      <c r="IH225" s="134"/>
      <c r="II225" s="134"/>
      <c r="IJ225" s="134"/>
      <c r="IK225" s="134"/>
      <c r="IL225" s="134"/>
      <c r="IM225" s="134"/>
      <c r="IN225" s="134"/>
      <c r="IO225" s="134"/>
      <c r="IP225" s="134"/>
      <c r="IQ225" s="134"/>
      <c r="IR225" s="134"/>
      <c r="IS225" s="134"/>
      <c r="IT225" s="134"/>
      <c r="IU225" s="134"/>
    </row>
    <row r="226" spans="1:255" ht="90" x14ac:dyDescent="0.2">
      <c r="A226" s="236" t="str">
        <f>'HECVAT - Full'!A226</f>
        <v>PPPR-03</v>
      </c>
      <c r="B226" s="236" t="str">
        <f>VLOOKUP(A226,'HECVAT - Full'!A$24:B$312,2,FALSE)</f>
        <v>Can you accommodate encryption requirements using open standards?</v>
      </c>
      <c r="C226" s="237" t="s">
        <v>2813</v>
      </c>
      <c r="D226" s="247" t="s">
        <v>2814</v>
      </c>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c r="CZ226" s="134"/>
      <c r="DA226" s="134"/>
      <c r="DB226" s="134"/>
      <c r="DC226" s="134"/>
      <c r="DD226" s="134"/>
      <c r="DE226" s="134"/>
      <c r="DF226" s="134"/>
      <c r="DG226" s="134"/>
      <c r="DH226" s="134"/>
      <c r="DI226" s="134"/>
      <c r="DJ226" s="134"/>
      <c r="DK226" s="134"/>
      <c r="DL226" s="134"/>
      <c r="DM226" s="134"/>
      <c r="DN226" s="134"/>
      <c r="DO226" s="134"/>
      <c r="DP226" s="134"/>
      <c r="DQ226" s="134"/>
      <c r="DR226" s="134"/>
      <c r="DS226" s="134"/>
      <c r="DT226" s="134"/>
      <c r="DU226" s="134"/>
      <c r="DV226" s="134"/>
      <c r="DW226" s="134"/>
      <c r="DX226" s="134"/>
      <c r="DY226" s="134"/>
      <c r="DZ226" s="134"/>
      <c r="EA226" s="134"/>
      <c r="EB226" s="134"/>
      <c r="EC226" s="134"/>
      <c r="ED226" s="134"/>
      <c r="EE226" s="134"/>
      <c r="EF226" s="134"/>
      <c r="EG226" s="134"/>
      <c r="EH226" s="134"/>
      <c r="EI226" s="134"/>
      <c r="EJ226" s="134"/>
      <c r="EK226" s="134"/>
      <c r="EL226" s="134"/>
      <c r="EM226" s="134"/>
      <c r="EN226" s="134"/>
      <c r="EO226" s="134"/>
      <c r="EP226" s="134"/>
      <c r="EQ226" s="134"/>
      <c r="ER226" s="134"/>
      <c r="ES226" s="134"/>
      <c r="ET226" s="134"/>
      <c r="EU226" s="134"/>
      <c r="EV226" s="134"/>
      <c r="EW226" s="134"/>
      <c r="EX226" s="134"/>
      <c r="EY226" s="134"/>
      <c r="EZ226" s="134"/>
      <c r="FA226" s="134"/>
      <c r="FB226" s="134"/>
      <c r="FC226" s="134"/>
      <c r="FD226" s="134"/>
      <c r="FE226" s="134"/>
      <c r="FF226" s="134"/>
      <c r="FG226" s="134"/>
      <c r="FH226" s="134"/>
      <c r="FI226" s="134"/>
      <c r="FJ226" s="134"/>
      <c r="FK226" s="134"/>
      <c r="FL226" s="134"/>
      <c r="FM226" s="134"/>
      <c r="FN226" s="134"/>
      <c r="FO226" s="134"/>
      <c r="FP226" s="134"/>
      <c r="FQ226" s="134"/>
      <c r="FR226" s="134"/>
      <c r="FS226" s="134"/>
      <c r="FT226" s="134"/>
      <c r="FU226" s="134"/>
      <c r="FV226" s="134"/>
      <c r="FW226" s="134"/>
      <c r="FX226" s="134"/>
      <c r="FY226" s="134"/>
      <c r="FZ226" s="134"/>
      <c r="GA226" s="134"/>
      <c r="GB226" s="134"/>
      <c r="GC226" s="134"/>
      <c r="GD226" s="134"/>
      <c r="GE226" s="134"/>
      <c r="GF226" s="134"/>
      <c r="GG226" s="134"/>
      <c r="GH226" s="134"/>
      <c r="GI226" s="134"/>
      <c r="GJ226" s="134"/>
      <c r="GK226" s="134"/>
      <c r="GL226" s="134"/>
      <c r="GM226" s="134"/>
      <c r="GN226" s="134"/>
      <c r="GO226" s="134"/>
      <c r="GP226" s="134"/>
      <c r="GQ226" s="134"/>
      <c r="GR226" s="134"/>
      <c r="GS226" s="134"/>
      <c r="GT226" s="134"/>
      <c r="GU226" s="134"/>
      <c r="GV226" s="134"/>
      <c r="GW226" s="134"/>
      <c r="GX226" s="134"/>
      <c r="GY226" s="134"/>
      <c r="GZ226" s="134"/>
      <c r="HA226" s="134"/>
      <c r="HB226" s="134"/>
      <c r="HC226" s="134"/>
      <c r="HD226" s="134"/>
      <c r="HE226" s="134"/>
      <c r="HF226" s="134"/>
      <c r="HG226" s="134"/>
      <c r="HH226" s="134"/>
      <c r="HI226" s="134"/>
      <c r="HJ226" s="134"/>
      <c r="HK226" s="134"/>
      <c r="HL226" s="134"/>
      <c r="HM226" s="134"/>
      <c r="HN226" s="134"/>
      <c r="HO226" s="134"/>
      <c r="HP226" s="134"/>
      <c r="HQ226" s="134"/>
      <c r="HR226" s="134"/>
      <c r="HS226" s="134"/>
      <c r="HT226" s="134"/>
      <c r="HU226" s="134"/>
      <c r="HV226" s="134"/>
      <c r="HW226" s="134"/>
      <c r="HX226" s="134"/>
      <c r="HY226" s="134"/>
      <c r="HZ226" s="134"/>
      <c r="IA226" s="134"/>
      <c r="IB226" s="134"/>
      <c r="IC226" s="134"/>
      <c r="ID226" s="134"/>
      <c r="IE226" s="134"/>
      <c r="IF226" s="134"/>
      <c r="IG226" s="134"/>
      <c r="IH226" s="134"/>
      <c r="II226" s="134"/>
      <c r="IJ226" s="134"/>
      <c r="IK226" s="134"/>
      <c r="IL226" s="134"/>
      <c r="IM226" s="134"/>
      <c r="IN226" s="134"/>
      <c r="IO226" s="134"/>
      <c r="IP226" s="134"/>
      <c r="IQ226" s="134"/>
      <c r="IR226" s="134"/>
      <c r="IS226" s="134"/>
      <c r="IT226" s="134"/>
      <c r="IU226" s="134"/>
    </row>
    <row r="227" spans="1:255" ht="84.75" customHeight="1" x14ac:dyDescent="0.2">
      <c r="A227" s="236" t="str">
        <f>'HECVAT - Full'!A227</f>
        <v>PPPR-04</v>
      </c>
      <c r="B227" s="236" t="str">
        <f>VLOOKUP(A227,'HECVAT - Full'!A$24:B$312,2,FALSE)</f>
        <v>Have your developers been trained in secure coding techniques?</v>
      </c>
      <c r="C227" s="269" t="s">
        <v>3035</v>
      </c>
      <c r="D227" s="242" t="s">
        <v>2911</v>
      </c>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c r="CZ227" s="134"/>
      <c r="DA227" s="134"/>
      <c r="DB227" s="134"/>
      <c r="DC227" s="134"/>
      <c r="DD227" s="134"/>
      <c r="DE227" s="134"/>
      <c r="DF227" s="134"/>
      <c r="DG227" s="134"/>
      <c r="DH227" s="134"/>
      <c r="DI227" s="134"/>
      <c r="DJ227" s="134"/>
      <c r="DK227" s="134"/>
      <c r="DL227" s="134"/>
      <c r="DM227" s="134"/>
      <c r="DN227" s="134"/>
      <c r="DO227" s="134"/>
      <c r="DP227" s="134"/>
      <c r="DQ227" s="134"/>
      <c r="DR227" s="134"/>
      <c r="DS227" s="134"/>
      <c r="DT227" s="134"/>
      <c r="DU227" s="134"/>
      <c r="DV227" s="134"/>
      <c r="DW227" s="134"/>
      <c r="DX227" s="134"/>
      <c r="DY227" s="134"/>
      <c r="DZ227" s="134"/>
      <c r="EA227" s="134"/>
      <c r="EB227" s="134"/>
      <c r="EC227" s="134"/>
      <c r="ED227" s="134"/>
      <c r="EE227" s="134"/>
      <c r="EF227" s="134"/>
      <c r="EG227" s="134"/>
      <c r="EH227" s="134"/>
      <c r="EI227" s="134"/>
      <c r="EJ227" s="134"/>
      <c r="EK227" s="134"/>
      <c r="EL227" s="134"/>
      <c r="EM227" s="134"/>
      <c r="EN227" s="134"/>
      <c r="EO227" s="134"/>
      <c r="EP227" s="134"/>
      <c r="EQ227" s="134"/>
      <c r="ER227" s="134"/>
      <c r="ES227" s="134"/>
      <c r="ET227" s="134"/>
      <c r="EU227" s="134"/>
      <c r="EV227" s="134"/>
      <c r="EW227" s="134"/>
      <c r="EX227" s="134"/>
      <c r="EY227" s="134"/>
      <c r="EZ227" s="134"/>
      <c r="FA227" s="134"/>
      <c r="FB227" s="134"/>
      <c r="FC227" s="134"/>
      <c r="FD227" s="134"/>
      <c r="FE227" s="134"/>
      <c r="FF227" s="134"/>
      <c r="FG227" s="134"/>
      <c r="FH227" s="134"/>
      <c r="FI227" s="134"/>
      <c r="FJ227" s="134"/>
      <c r="FK227" s="134"/>
      <c r="FL227" s="134"/>
      <c r="FM227" s="134"/>
      <c r="FN227" s="134"/>
      <c r="FO227" s="134"/>
      <c r="FP227" s="134"/>
      <c r="FQ227" s="134"/>
      <c r="FR227" s="134"/>
      <c r="FS227" s="134"/>
      <c r="FT227" s="134"/>
      <c r="FU227" s="134"/>
      <c r="FV227" s="134"/>
      <c r="FW227" s="134"/>
      <c r="FX227" s="134"/>
      <c r="FY227" s="134"/>
      <c r="FZ227" s="134"/>
      <c r="GA227" s="134"/>
      <c r="GB227" s="134"/>
      <c r="GC227" s="134"/>
      <c r="GD227" s="134"/>
      <c r="GE227" s="134"/>
      <c r="GF227" s="134"/>
      <c r="GG227" s="134"/>
      <c r="GH227" s="134"/>
      <c r="GI227" s="134"/>
      <c r="GJ227" s="134"/>
      <c r="GK227" s="134"/>
      <c r="GL227" s="134"/>
      <c r="GM227" s="134"/>
      <c r="GN227" s="134"/>
      <c r="GO227" s="134"/>
      <c r="GP227" s="134"/>
      <c r="GQ227" s="134"/>
      <c r="GR227" s="134"/>
      <c r="GS227" s="134"/>
      <c r="GT227" s="134"/>
      <c r="GU227" s="134"/>
      <c r="GV227" s="134"/>
      <c r="GW227" s="134"/>
      <c r="GX227" s="134"/>
      <c r="GY227" s="134"/>
      <c r="GZ227" s="134"/>
      <c r="HA227" s="134"/>
      <c r="HB227" s="134"/>
      <c r="HC227" s="134"/>
      <c r="HD227" s="134"/>
      <c r="HE227" s="134"/>
      <c r="HF227" s="134"/>
      <c r="HG227" s="134"/>
      <c r="HH227" s="134"/>
      <c r="HI227" s="134"/>
      <c r="HJ227" s="134"/>
      <c r="HK227" s="134"/>
      <c r="HL227" s="134"/>
      <c r="HM227" s="134"/>
      <c r="HN227" s="134"/>
      <c r="HO227" s="134"/>
      <c r="HP227" s="134"/>
      <c r="HQ227" s="134"/>
      <c r="HR227" s="134"/>
      <c r="HS227" s="134"/>
      <c r="HT227" s="134"/>
      <c r="HU227" s="134"/>
      <c r="HV227" s="134"/>
      <c r="HW227" s="134"/>
      <c r="HX227" s="134"/>
      <c r="HY227" s="134"/>
      <c r="HZ227" s="134"/>
      <c r="IA227" s="134"/>
      <c r="IB227" s="134"/>
      <c r="IC227" s="134"/>
      <c r="ID227" s="134"/>
      <c r="IE227" s="134"/>
      <c r="IF227" s="134"/>
      <c r="IG227" s="134"/>
      <c r="IH227" s="134"/>
      <c r="II227" s="134"/>
      <c r="IJ227" s="134"/>
      <c r="IK227" s="134"/>
      <c r="IL227" s="134"/>
      <c r="IM227" s="134"/>
      <c r="IN227" s="134"/>
      <c r="IO227" s="134"/>
      <c r="IP227" s="134"/>
      <c r="IQ227" s="134"/>
      <c r="IR227" s="134"/>
      <c r="IS227" s="134"/>
      <c r="IT227" s="134"/>
      <c r="IU227" s="134"/>
    </row>
    <row r="228" spans="1:255" ht="84.75" customHeight="1" x14ac:dyDescent="0.2">
      <c r="A228" s="236" t="str">
        <f>'HECVAT - Full'!A228</f>
        <v>PPPR-05</v>
      </c>
      <c r="B228" s="236" t="str">
        <f>VLOOKUP(A228,'HECVAT - Full'!A$24:B$312,2,FALSE)</f>
        <v>Was your application developed using secure coding techniques?</v>
      </c>
      <c r="C228" s="269" t="s">
        <v>3035</v>
      </c>
      <c r="D228" s="242" t="s">
        <v>2911</v>
      </c>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c r="CZ228" s="134"/>
      <c r="DA228" s="134"/>
      <c r="DB228" s="134"/>
      <c r="DC228" s="134"/>
      <c r="DD228" s="134"/>
      <c r="DE228" s="134"/>
      <c r="DF228" s="134"/>
      <c r="DG228" s="134"/>
      <c r="DH228" s="134"/>
      <c r="DI228" s="134"/>
      <c r="DJ228" s="134"/>
      <c r="DK228" s="134"/>
      <c r="DL228" s="134"/>
      <c r="DM228" s="134"/>
      <c r="DN228" s="134"/>
      <c r="DO228" s="134"/>
      <c r="DP228" s="134"/>
      <c r="DQ228" s="134"/>
      <c r="DR228" s="134"/>
      <c r="DS228" s="134"/>
      <c r="DT228" s="134"/>
      <c r="DU228" s="134"/>
      <c r="DV228" s="134"/>
      <c r="DW228" s="134"/>
      <c r="DX228" s="134"/>
      <c r="DY228" s="134"/>
      <c r="DZ228" s="134"/>
      <c r="EA228" s="134"/>
      <c r="EB228" s="134"/>
      <c r="EC228" s="134"/>
      <c r="ED228" s="134"/>
      <c r="EE228" s="134"/>
      <c r="EF228" s="134"/>
      <c r="EG228" s="134"/>
      <c r="EH228" s="134"/>
      <c r="EI228" s="134"/>
      <c r="EJ228" s="134"/>
      <c r="EK228" s="134"/>
      <c r="EL228" s="134"/>
      <c r="EM228" s="134"/>
      <c r="EN228" s="134"/>
      <c r="EO228" s="134"/>
      <c r="EP228" s="134"/>
      <c r="EQ228" s="134"/>
      <c r="ER228" s="134"/>
      <c r="ES228" s="134"/>
      <c r="ET228" s="134"/>
      <c r="EU228" s="134"/>
      <c r="EV228" s="134"/>
      <c r="EW228" s="134"/>
      <c r="EX228" s="134"/>
      <c r="EY228" s="134"/>
      <c r="EZ228" s="134"/>
      <c r="FA228" s="134"/>
      <c r="FB228" s="134"/>
      <c r="FC228" s="134"/>
      <c r="FD228" s="134"/>
      <c r="FE228" s="134"/>
      <c r="FF228" s="134"/>
      <c r="FG228" s="134"/>
      <c r="FH228" s="134"/>
      <c r="FI228" s="134"/>
      <c r="FJ228" s="134"/>
      <c r="FK228" s="134"/>
      <c r="FL228" s="134"/>
      <c r="FM228" s="134"/>
      <c r="FN228" s="134"/>
      <c r="FO228" s="134"/>
      <c r="FP228" s="134"/>
      <c r="FQ228" s="134"/>
      <c r="FR228" s="134"/>
      <c r="FS228" s="134"/>
      <c r="FT228" s="134"/>
      <c r="FU228" s="134"/>
      <c r="FV228" s="134"/>
      <c r="FW228" s="134"/>
      <c r="FX228" s="134"/>
      <c r="FY228" s="134"/>
      <c r="FZ228" s="134"/>
      <c r="GA228" s="134"/>
      <c r="GB228" s="134"/>
      <c r="GC228" s="134"/>
      <c r="GD228" s="134"/>
      <c r="GE228" s="134"/>
      <c r="GF228" s="134"/>
      <c r="GG228" s="134"/>
      <c r="GH228" s="134"/>
      <c r="GI228" s="134"/>
      <c r="GJ228" s="134"/>
      <c r="GK228" s="134"/>
      <c r="GL228" s="134"/>
      <c r="GM228" s="134"/>
      <c r="GN228" s="134"/>
      <c r="GO228" s="134"/>
      <c r="GP228" s="134"/>
      <c r="GQ228" s="134"/>
      <c r="GR228" s="134"/>
      <c r="GS228" s="134"/>
      <c r="GT228" s="134"/>
      <c r="GU228" s="134"/>
      <c r="GV228" s="134"/>
      <c r="GW228" s="134"/>
      <c r="GX228" s="134"/>
      <c r="GY228" s="134"/>
      <c r="GZ228" s="134"/>
      <c r="HA228" s="134"/>
      <c r="HB228" s="134"/>
      <c r="HC228" s="134"/>
      <c r="HD228" s="134"/>
      <c r="HE228" s="134"/>
      <c r="HF228" s="134"/>
      <c r="HG228" s="134"/>
      <c r="HH228" s="134"/>
      <c r="HI228" s="134"/>
      <c r="HJ228" s="134"/>
      <c r="HK228" s="134"/>
      <c r="HL228" s="134"/>
      <c r="HM228" s="134"/>
      <c r="HN228" s="134"/>
      <c r="HO228" s="134"/>
      <c r="HP228" s="134"/>
      <c r="HQ228" s="134"/>
      <c r="HR228" s="134"/>
      <c r="HS228" s="134"/>
      <c r="HT228" s="134"/>
      <c r="HU228" s="134"/>
      <c r="HV228" s="134"/>
      <c r="HW228" s="134"/>
      <c r="HX228" s="134"/>
      <c r="HY228" s="134"/>
      <c r="HZ228" s="134"/>
      <c r="IA228" s="134"/>
      <c r="IB228" s="134"/>
      <c r="IC228" s="134"/>
      <c r="ID228" s="134"/>
      <c r="IE228" s="134"/>
      <c r="IF228" s="134"/>
      <c r="IG228" s="134"/>
      <c r="IH228" s="134"/>
      <c r="II228" s="134"/>
      <c r="IJ228" s="134"/>
      <c r="IK228" s="134"/>
      <c r="IL228" s="134"/>
      <c r="IM228" s="134"/>
      <c r="IN228" s="134"/>
      <c r="IO228" s="134"/>
      <c r="IP228" s="134"/>
      <c r="IQ228" s="134"/>
      <c r="IR228" s="134"/>
      <c r="IS228" s="134"/>
      <c r="IT228" s="134"/>
      <c r="IU228" s="134"/>
    </row>
    <row r="229" spans="1:255" ht="120.75" customHeight="1" x14ac:dyDescent="0.2">
      <c r="A229" s="236" t="str">
        <f>'HECVAT - Full'!A229</f>
        <v>PPPR-06</v>
      </c>
      <c r="B229" s="236" t="str">
        <f>VLOOKUP(A229,'HECVAT - Full'!A$24:B$312,2,FALSE)</f>
        <v>Do you subject your code to static code analysis and/or static application security testing prior to release?</v>
      </c>
      <c r="C229" s="237" t="s">
        <v>2923</v>
      </c>
      <c r="D229" s="242" t="s">
        <v>2924</v>
      </c>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c r="CQ229" s="134"/>
      <c r="CR229" s="134"/>
      <c r="CS229" s="134"/>
      <c r="CT229" s="134"/>
      <c r="CU229" s="134"/>
      <c r="CV229" s="134"/>
      <c r="CW229" s="134"/>
      <c r="CX229" s="134"/>
      <c r="CY229" s="134"/>
      <c r="CZ229" s="134"/>
      <c r="DA229" s="134"/>
      <c r="DB229" s="134"/>
      <c r="DC229" s="134"/>
      <c r="DD229" s="134"/>
      <c r="DE229" s="134"/>
      <c r="DF229" s="134"/>
      <c r="DG229" s="134"/>
      <c r="DH229" s="134"/>
      <c r="DI229" s="134"/>
      <c r="DJ229" s="134"/>
      <c r="DK229" s="134"/>
      <c r="DL229" s="134"/>
      <c r="DM229" s="134"/>
      <c r="DN229" s="134"/>
      <c r="DO229" s="134"/>
      <c r="DP229" s="134"/>
      <c r="DQ229" s="134"/>
      <c r="DR229" s="134"/>
      <c r="DS229" s="134"/>
      <c r="DT229" s="134"/>
      <c r="DU229" s="134"/>
      <c r="DV229" s="134"/>
      <c r="DW229" s="134"/>
      <c r="DX229" s="134"/>
      <c r="DY229" s="134"/>
      <c r="DZ229" s="134"/>
      <c r="EA229" s="134"/>
      <c r="EB229" s="134"/>
      <c r="EC229" s="134"/>
      <c r="ED229" s="134"/>
      <c r="EE229" s="134"/>
      <c r="EF229" s="134"/>
      <c r="EG229" s="134"/>
      <c r="EH229" s="134"/>
      <c r="EI229" s="134"/>
      <c r="EJ229" s="134"/>
      <c r="EK229" s="134"/>
      <c r="EL229" s="134"/>
      <c r="EM229" s="134"/>
      <c r="EN229" s="134"/>
      <c r="EO229" s="134"/>
      <c r="EP229" s="134"/>
      <c r="EQ229" s="134"/>
      <c r="ER229" s="134"/>
      <c r="ES229" s="134"/>
      <c r="ET229" s="134"/>
      <c r="EU229" s="134"/>
      <c r="EV229" s="134"/>
      <c r="EW229" s="134"/>
      <c r="EX229" s="134"/>
      <c r="EY229" s="134"/>
      <c r="EZ229" s="134"/>
      <c r="FA229" s="134"/>
      <c r="FB229" s="134"/>
      <c r="FC229" s="134"/>
      <c r="FD229" s="134"/>
      <c r="FE229" s="134"/>
      <c r="FF229" s="134"/>
      <c r="FG229" s="134"/>
      <c r="FH229" s="134"/>
      <c r="FI229" s="134"/>
      <c r="FJ229" s="134"/>
      <c r="FK229" s="134"/>
      <c r="FL229" s="134"/>
      <c r="FM229" s="134"/>
      <c r="FN229" s="134"/>
      <c r="FO229" s="134"/>
      <c r="FP229" s="134"/>
      <c r="FQ229" s="134"/>
      <c r="FR229" s="134"/>
      <c r="FS229" s="134"/>
      <c r="FT229" s="134"/>
      <c r="FU229" s="134"/>
      <c r="FV229" s="134"/>
      <c r="FW229" s="134"/>
      <c r="FX229" s="134"/>
      <c r="FY229" s="134"/>
      <c r="FZ229" s="134"/>
      <c r="GA229" s="134"/>
      <c r="GB229" s="134"/>
      <c r="GC229" s="134"/>
      <c r="GD229" s="134"/>
      <c r="GE229" s="134"/>
      <c r="GF229" s="134"/>
      <c r="GG229" s="134"/>
      <c r="GH229" s="134"/>
      <c r="GI229" s="134"/>
      <c r="GJ229" s="134"/>
      <c r="GK229" s="134"/>
      <c r="GL229" s="134"/>
      <c r="GM229" s="134"/>
      <c r="GN229" s="134"/>
      <c r="GO229" s="134"/>
      <c r="GP229" s="134"/>
      <c r="GQ229" s="134"/>
      <c r="GR229" s="134"/>
      <c r="GS229" s="134"/>
      <c r="GT229" s="134"/>
      <c r="GU229" s="134"/>
      <c r="GV229" s="134"/>
      <c r="GW229" s="134"/>
      <c r="GX229" s="134"/>
      <c r="GY229" s="134"/>
      <c r="GZ229" s="134"/>
      <c r="HA229" s="134"/>
      <c r="HB229" s="134"/>
      <c r="HC229" s="134"/>
      <c r="HD229" s="134"/>
      <c r="HE229" s="134"/>
      <c r="HF229" s="134"/>
      <c r="HG229" s="134"/>
      <c r="HH229" s="134"/>
      <c r="HI229" s="134"/>
      <c r="HJ229" s="134"/>
      <c r="HK229" s="134"/>
      <c r="HL229" s="134"/>
      <c r="HM229" s="134"/>
      <c r="HN229" s="134"/>
      <c r="HO229" s="134"/>
      <c r="HP229" s="134"/>
      <c r="HQ229" s="134"/>
      <c r="HR229" s="134"/>
      <c r="HS229" s="134"/>
      <c r="HT229" s="134"/>
      <c r="HU229" s="134"/>
      <c r="HV229" s="134"/>
      <c r="HW229" s="134"/>
      <c r="HX229" s="134"/>
      <c r="HY229" s="134"/>
      <c r="HZ229" s="134"/>
      <c r="IA229" s="134"/>
      <c r="IB229" s="134"/>
      <c r="IC229" s="134"/>
      <c r="ID229" s="134"/>
      <c r="IE229" s="134"/>
      <c r="IF229" s="134"/>
      <c r="IG229" s="134"/>
      <c r="IH229" s="134"/>
      <c r="II229" s="134"/>
      <c r="IJ229" s="134"/>
      <c r="IK229" s="134"/>
      <c r="IL229" s="134"/>
      <c r="IM229" s="134"/>
      <c r="IN229" s="134"/>
      <c r="IO229" s="134"/>
      <c r="IP229" s="134"/>
      <c r="IQ229" s="134"/>
      <c r="IR229" s="134"/>
      <c r="IS229" s="134"/>
      <c r="IT229" s="134"/>
      <c r="IU229" s="134"/>
    </row>
    <row r="230" spans="1:255" ht="84" customHeight="1" x14ac:dyDescent="0.2">
      <c r="A230" s="236" t="str">
        <f>'HECVAT - Full'!A230</f>
        <v>PPPR-07</v>
      </c>
      <c r="B230" s="236" t="str">
        <f>VLOOKUP(A230,'HECVAT - Full'!A$24:B$312,2,FALSE)</f>
        <v>Do you have software testing processes (dynamic or static) that are established and followed?</v>
      </c>
      <c r="C230" s="237" t="s">
        <v>2925</v>
      </c>
      <c r="D230" s="242" t="s">
        <v>2926</v>
      </c>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c r="CQ230" s="134"/>
      <c r="CR230" s="134"/>
      <c r="CS230" s="134"/>
      <c r="CT230" s="134"/>
      <c r="CU230" s="134"/>
      <c r="CV230" s="134"/>
      <c r="CW230" s="134"/>
      <c r="CX230" s="134"/>
      <c r="CY230" s="134"/>
      <c r="CZ230" s="134"/>
      <c r="DA230" s="134"/>
      <c r="DB230" s="134"/>
      <c r="DC230" s="134"/>
      <c r="DD230" s="134"/>
      <c r="DE230" s="134"/>
      <c r="DF230" s="134"/>
      <c r="DG230" s="134"/>
      <c r="DH230" s="134"/>
      <c r="DI230" s="134"/>
      <c r="DJ230" s="134"/>
      <c r="DK230" s="134"/>
      <c r="DL230" s="134"/>
      <c r="DM230" s="134"/>
      <c r="DN230" s="134"/>
      <c r="DO230" s="134"/>
      <c r="DP230" s="134"/>
      <c r="DQ230" s="134"/>
      <c r="DR230" s="134"/>
      <c r="DS230" s="134"/>
      <c r="DT230" s="134"/>
      <c r="DU230" s="134"/>
      <c r="DV230" s="134"/>
      <c r="DW230" s="134"/>
      <c r="DX230" s="134"/>
      <c r="DY230" s="134"/>
      <c r="DZ230" s="134"/>
      <c r="EA230" s="134"/>
      <c r="EB230" s="134"/>
      <c r="EC230" s="134"/>
      <c r="ED230" s="134"/>
      <c r="EE230" s="134"/>
      <c r="EF230" s="134"/>
      <c r="EG230" s="134"/>
      <c r="EH230" s="134"/>
      <c r="EI230" s="134"/>
      <c r="EJ230" s="134"/>
      <c r="EK230" s="134"/>
      <c r="EL230" s="134"/>
      <c r="EM230" s="134"/>
      <c r="EN230" s="134"/>
      <c r="EO230" s="134"/>
      <c r="EP230" s="134"/>
      <c r="EQ230" s="134"/>
      <c r="ER230" s="134"/>
      <c r="ES230" s="134"/>
      <c r="ET230" s="134"/>
      <c r="EU230" s="134"/>
      <c r="EV230" s="134"/>
      <c r="EW230" s="134"/>
      <c r="EX230" s="134"/>
      <c r="EY230" s="134"/>
      <c r="EZ230" s="134"/>
      <c r="FA230" s="134"/>
      <c r="FB230" s="134"/>
      <c r="FC230" s="134"/>
      <c r="FD230" s="134"/>
      <c r="FE230" s="134"/>
      <c r="FF230" s="134"/>
      <c r="FG230" s="134"/>
      <c r="FH230" s="134"/>
      <c r="FI230" s="134"/>
      <c r="FJ230" s="134"/>
      <c r="FK230" s="134"/>
      <c r="FL230" s="134"/>
      <c r="FM230" s="134"/>
      <c r="FN230" s="134"/>
      <c r="FO230" s="134"/>
      <c r="FP230" s="134"/>
      <c r="FQ230" s="134"/>
      <c r="FR230" s="134"/>
      <c r="FS230" s="134"/>
      <c r="FT230" s="134"/>
      <c r="FU230" s="134"/>
      <c r="FV230" s="134"/>
      <c r="FW230" s="134"/>
      <c r="FX230" s="134"/>
      <c r="FY230" s="134"/>
      <c r="FZ230" s="134"/>
      <c r="GA230" s="134"/>
      <c r="GB230" s="134"/>
      <c r="GC230" s="134"/>
      <c r="GD230" s="134"/>
      <c r="GE230" s="134"/>
      <c r="GF230" s="134"/>
      <c r="GG230" s="134"/>
      <c r="GH230" s="134"/>
      <c r="GI230" s="134"/>
      <c r="GJ230" s="134"/>
      <c r="GK230" s="134"/>
      <c r="GL230" s="134"/>
      <c r="GM230" s="134"/>
      <c r="GN230" s="134"/>
      <c r="GO230" s="134"/>
      <c r="GP230" s="134"/>
      <c r="GQ230" s="134"/>
      <c r="GR230" s="134"/>
      <c r="GS230" s="134"/>
      <c r="GT230" s="134"/>
      <c r="GU230" s="134"/>
      <c r="GV230" s="134"/>
      <c r="GW230" s="134"/>
      <c r="GX230" s="134"/>
      <c r="GY230" s="134"/>
      <c r="GZ230" s="134"/>
      <c r="HA230" s="134"/>
      <c r="HB230" s="134"/>
      <c r="HC230" s="134"/>
      <c r="HD230" s="134"/>
      <c r="HE230" s="134"/>
      <c r="HF230" s="134"/>
      <c r="HG230" s="134"/>
      <c r="HH230" s="134"/>
      <c r="HI230" s="134"/>
      <c r="HJ230" s="134"/>
      <c r="HK230" s="134"/>
      <c r="HL230" s="134"/>
      <c r="HM230" s="134"/>
      <c r="HN230" s="134"/>
      <c r="HO230" s="134"/>
      <c r="HP230" s="134"/>
      <c r="HQ230" s="134"/>
      <c r="HR230" s="134"/>
      <c r="HS230" s="134"/>
      <c r="HT230" s="134"/>
      <c r="HU230" s="134"/>
      <c r="HV230" s="134"/>
      <c r="HW230" s="134"/>
      <c r="HX230" s="134"/>
      <c r="HY230" s="134"/>
      <c r="HZ230" s="134"/>
      <c r="IA230" s="134"/>
      <c r="IB230" s="134"/>
      <c r="IC230" s="134"/>
      <c r="ID230" s="134"/>
      <c r="IE230" s="134"/>
      <c r="IF230" s="134"/>
      <c r="IG230" s="134"/>
      <c r="IH230" s="134"/>
      <c r="II230" s="134"/>
      <c r="IJ230" s="134"/>
      <c r="IK230" s="134"/>
      <c r="IL230" s="134"/>
      <c r="IM230" s="134"/>
      <c r="IN230" s="134"/>
      <c r="IO230" s="134"/>
      <c r="IP230" s="134"/>
      <c r="IQ230" s="134"/>
      <c r="IR230" s="134"/>
      <c r="IS230" s="134"/>
      <c r="IT230" s="134"/>
      <c r="IU230" s="134"/>
    </row>
    <row r="231" spans="1:255" ht="84" customHeight="1" x14ac:dyDescent="0.2">
      <c r="A231" s="236" t="str">
        <f>'HECVAT - Full'!A231</f>
        <v>PPPR-08</v>
      </c>
      <c r="B231" s="236" t="str">
        <f>VLOOKUP(A231,'HECVAT - Full'!A$24:B$312,2,FALSE)</f>
        <v>Are information security principles designed into the product lifecycle?</v>
      </c>
      <c r="C231" s="269" t="s">
        <v>3035</v>
      </c>
      <c r="D231" s="242" t="s">
        <v>2911</v>
      </c>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34"/>
      <c r="BQ231" s="134"/>
      <c r="BR231" s="134"/>
      <c r="BS231" s="134"/>
      <c r="BT231" s="134"/>
      <c r="BU231" s="134"/>
      <c r="BV231" s="134"/>
      <c r="BW231" s="134"/>
      <c r="BX231" s="134"/>
      <c r="BY231" s="134"/>
      <c r="BZ231" s="134"/>
      <c r="CA231" s="134"/>
      <c r="CB231" s="134"/>
      <c r="CC231" s="134"/>
      <c r="CD231" s="134"/>
      <c r="CE231" s="134"/>
      <c r="CF231" s="134"/>
      <c r="CG231" s="134"/>
      <c r="CH231" s="134"/>
      <c r="CI231" s="134"/>
      <c r="CJ231" s="134"/>
      <c r="CK231" s="134"/>
      <c r="CL231" s="134"/>
      <c r="CM231" s="134"/>
      <c r="CN231" s="134"/>
      <c r="CO231" s="134"/>
      <c r="CP231" s="134"/>
      <c r="CQ231" s="134"/>
      <c r="CR231" s="134"/>
      <c r="CS231" s="134"/>
      <c r="CT231" s="134"/>
      <c r="CU231" s="134"/>
      <c r="CV231" s="134"/>
      <c r="CW231" s="134"/>
      <c r="CX231" s="134"/>
      <c r="CY231" s="134"/>
      <c r="CZ231" s="134"/>
      <c r="DA231" s="134"/>
      <c r="DB231" s="134"/>
      <c r="DC231" s="134"/>
      <c r="DD231" s="134"/>
      <c r="DE231" s="134"/>
      <c r="DF231" s="134"/>
      <c r="DG231" s="134"/>
      <c r="DH231" s="134"/>
      <c r="DI231" s="134"/>
      <c r="DJ231" s="134"/>
      <c r="DK231" s="134"/>
      <c r="DL231" s="134"/>
      <c r="DM231" s="134"/>
      <c r="DN231" s="134"/>
      <c r="DO231" s="134"/>
      <c r="DP231" s="134"/>
      <c r="DQ231" s="134"/>
      <c r="DR231" s="134"/>
      <c r="DS231" s="134"/>
      <c r="DT231" s="134"/>
      <c r="DU231" s="134"/>
      <c r="DV231" s="134"/>
      <c r="DW231" s="134"/>
      <c r="DX231" s="134"/>
      <c r="DY231" s="134"/>
      <c r="DZ231" s="134"/>
      <c r="EA231" s="134"/>
      <c r="EB231" s="134"/>
      <c r="EC231" s="134"/>
      <c r="ED231" s="134"/>
      <c r="EE231" s="134"/>
      <c r="EF231" s="134"/>
      <c r="EG231" s="134"/>
      <c r="EH231" s="134"/>
      <c r="EI231" s="134"/>
      <c r="EJ231" s="134"/>
      <c r="EK231" s="134"/>
      <c r="EL231" s="134"/>
      <c r="EM231" s="134"/>
      <c r="EN231" s="134"/>
      <c r="EO231" s="134"/>
      <c r="EP231" s="134"/>
      <c r="EQ231" s="134"/>
      <c r="ER231" s="134"/>
      <c r="ES231" s="134"/>
      <c r="ET231" s="134"/>
      <c r="EU231" s="134"/>
      <c r="EV231" s="134"/>
      <c r="EW231" s="134"/>
      <c r="EX231" s="134"/>
      <c r="EY231" s="134"/>
      <c r="EZ231" s="134"/>
      <c r="FA231" s="134"/>
      <c r="FB231" s="134"/>
      <c r="FC231" s="134"/>
      <c r="FD231" s="134"/>
      <c r="FE231" s="134"/>
      <c r="FF231" s="134"/>
      <c r="FG231" s="134"/>
      <c r="FH231" s="134"/>
      <c r="FI231" s="134"/>
      <c r="FJ231" s="134"/>
      <c r="FK231" s="134"/>
      <c r="FL231" s="134"/>
      <c r="FM231" s="134"/>
      <c r="FN231" s="134"/>
      <c r="FO231" s="134"/>
      <c r="FP231" s="134"/>
      <c r="FQ231" s="134"/>
      <c r="FR231" s="134"/>
      <c r="FS231" s="134"/>
      <c r="FT231" s="134"/>
      <c r="FU231" s="134"/>
      <c r="FV231" s="134"/>
      <c r="FW231" s="134"/>
      <c r="FX231" s="134"/>
      <c r="FY231" s="134"/>
      <c r="FZ231" s="134"/>
      <c r="GA231" s="134"/>
      <c r="GB231" s="134"/>
      <c r="GC231" s="134"/>
      <c r="GD231" s="134"/>
      <c r="GE231" s="134"/>
      <c r="GF231" s="134"/>
      <c r="GG231" s="134"/>
      <c r="GH231" s="134"/>
      <c r="GI231" s="134"/>
      <c r="GJ231" s="134"/>
      <c r="GK231" s="134"/>
      <c r="GL231" s="134"/>
      <c r="GM231" s="134"/>
      <c r="GN231" s="134"/>
      <c r="GO231" s="134"/>
      <c r="GP231" s="134"/>
      <c r="GQ231" s="134"/>
      <c r="GR231" s="134"/>
      <c r="GS231" s="134"/>
      <c r="GT231" s="134"/>
      <c r="GU231" s="134"/>
      <c r="GV231" s="134"/>
      <c r="GW231" s="134"/>
      <c r="GX231" s="134"/>
      <c r="GY231" s="134"/>
      <c r="GZ231" s="134"/>
      <c r="HA231" s="134"/>
      <c r="HB231" s="134"/>
      <c r="HC231" s="134"/>
      <c r="HD231" s="134"/>
      <c r="HE231" s="134"/>
      <c r="HF231" s="134"/>
      <c r="HG231" s="134"/>
      <c r="HH231" s="134"/>
      <c r="HI231" s="134"/>
      <c r="HJ231" s="134"/>
      <c r="HK231" s="134"/>
      <c r="HL231" s="134"/>
      <c r="HM231" s="134"/>
      <c r="HN231" s="134"/>
      <c r="HO231" s="134"/>
      <c r="HP231" s="134"/>
      <c r="HQ231" s="134"/>
      <c r="HR231" s="134"/>
      <c r="HS231" s="134"/>
      <c r="HT231" s="134"/>
      <c r="HU231" s="134"/>
      <c r="HV231" s="134"/>
      <c r="HW231" s="134"/>
      <c r="HX231" s="134"/>
      <c r="HY231" s="134"/>
      <c r="HZ231" s="134"/>
      <c r="IA231" s="134"/>
      <c r="IB231" s="134"/>
      <c r="IC231" s="134"/>
      <c r="ID231" s="134"/>
      <c r="IE231" s="134"/>
      <c r="IF231" s="134"/>
      <c r="IG231" s="134"/>
      <c r="IH231" s="134"/>
      <c r="II231" s="134"/>
      <c r="IJ231" s="134"/>
      <c r="IK231" s="134"/>
      <c r="IL231" s="134"/>
      <c r="IM231" s="134"/>
      <c r="IN231" s="134"/>
      <c r="IO231" s="134"/>
      <c r="IP231" s="134"/>
      <c r="IQ231" s="134"/>
      <c r="IR231" s="134"/>
      <c r="IS231" s="134"/>
      <c r="IT231" s="134"/>
      <c r="IU231" s="134"/>
    </row>
    <row r="232" spans="1:255" ht="96" customHeight="1" x14ac:dyDescent="0.2">
      <c r="A232" s="236" t="str">
        <f>'HECVAT - Full'!A232</f>
        <v>PPPR-09</v>
      </c>
      <c r="B232" s="236" t="str">
        <f>VLOOKUP(A232,'HECVAT - Full'!A$24:B$312,2,FALSE)</f>
        <v>Do you have a documented systems development life cycle (SDLC)?</v>
      </c>
      <c r="C232" s="237" t="s">
        <v>2927</v>
      </c>
      <c r="D232" s="247" t="s">
        <v>2928</v>
      </c>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4"/>
      <c r="DF232" s="134"/>
      <c r="DG232" s="134"/>
      <c r="DH232" s="134"/>
      <c r="DI232" s="134"/>
      <c r="DJ232" s="134"/>
      <c r="DK232" s="134"/>
      <c r="DL232" s="134"/>
      <c r="DM232" s="134"/>
      <c r="DN232" s="134"/>
      <c r="DO232" s="134"/>
      <c r="DP232" s="134"/>
      <c r="DQ232" s="134"/>
      <c r="DR232" s="134"/>
      <c r="DS232" s="134"/>
      <c r="DT232" s="134"/>
      <c r="DU232" s="134"/>
      <c r="DV232" s="134"/>
      <c r="DW232" s="134"/>
      <c r="DX232" s="134"/>
      <c r="DY232" s="134"/>
      <c r="DZ232" s="134"/>
      <c r="EA232" s="134"/>
      <c r="EB232" s="134"/>
      <c r="EC232" s="134"/>
      <c r="ED232" s="134"/>
      <c r="EE232" s="134"/>
      <c r="EF232" s="134"/>
      <c r="EG232" s="134"/>
      <c r="EH232" s="134"/>
      <c r="EI232" s="134"/>
      <c r="EJ232" s="134"/>
      <c r="EK232" s="134"/>
      <c r="EL232" s="134"/>
      <c r="EM232" s="134"/>
      <c r="EN232" s="134"/>
      <c r="EO232" s="134"/>
      <c r="EP232" s="134"/>
      <c r="EQ232" s="134"/>
      <c r="ER232" s="134"/>
      <c r="ES232" s="134"/>
      <c r="ET232" s="134"/>
      <c r="EU232" s="134"/>
      <c r="EV232" s="134"/>
      <c r="EW232" s="134"/>
      <c r="EX232" s="134"/>
      <c r="EY232" s="134"/>
      <c r="EZ232" s="134"/>
      <c r="FA232" s="134"/>
      <c r="FB232" s="134"/>
      <c r="FC232" s="134"/>
      <c r="FD232" s="134"/>
      <c r="FE232" s="134"/>
      <c r="FF232" s="134"/>
      <c r="FG232" s="134"/>
      <c r="FH232" s="134"/>
      <c r="FI232" s="134"/>
      <c r="FJ232" s="134"/>
      <c r="FK232" s="134"/>
      <c r="FL232" s="134"/>
      <c r="FM232" s="134"/>
      <c r="FN232" s="134"/>
      <c r="FO232" s="134"/>
      <c r="FP232" s="134"/>
      <c r="FQ232" s="134"/>
      <c r="FR232" s="134"/>
      <c r="FS232" s="134"/>
      <c r="FT232" s="134"/>
      <c r="FU232" s="134"/>
      <c r="FV232" s="134"/>
      <c r="FW232" s="134"/>
      <c r="FX232" s="134"/>
      <c r="FY232" s="134"/>
      <c r="FZ232" s="134"/>
      <c r="GA232" s="134"/>
      <c r="GB232" s="134"/>
      <c r="GC232" s="134"/>
      <c r="GD232" s="134"/>
      <c r="GE232" s="134"/>
      <c r="GF232" s="134"/>
      <c r="GG232" s="134"/>
      <c r="GH232" s="134"/>
      <c r="GI232" s="134"/>
      <c r="GJ232" s="134"/>
      <c r="GK232" s="134"/>
      <c r="GL232" s="134"/>
      <c r="GM232" s="134"/>
      <c r="GN232" s="134"/>
      <c r="GO232" s="134"/>
      <c r="GP232" s="134"/>
      <c r="GQ232" s="134"/>
      <c r="GR232" s="134"/>
      <c r="GS232" s="134"/>
      <c r="GT232" s="134"/>
      <c r="GU232" s="134"/>
      <c r="GV232" s="134"/>
      <c r="GW232" s="134"/>
      <c r="GX232" s="134"/>
      <c r="GY232" s="134"/>
      <c r="GZ232" s="134"/>
      <c r="HA232" s="134"/>
      <c r="HB232" s="134"/>
      <c r="HC232" s="134"/>
      <c r="HD232" s="134"/>
      <c r="HE232" s="134"/>
      <c r="HF232" s="134"/>
      <c r="HG232" s="134"/>
      <c r="HH232" s="134"/>
      <c r="HI232" s="134"/>
      <c r="HJ232" s="134"/>
      <c r="HK232" s="134"/>
      <c r="HL232" s="134"/>
      <c r="HM232" s="134"/>
      <c r="HN232" s="134"/>
      <c r="HO232" s="134"/>
      <c r="HP232" s="134"/>
      <c r="HQ232" s="134"/>
      <c r="HR232" s="134"/>
      <c r="HS232" s="134"/>
      <c r="HT232" s="134"/>
      <c r="HU232" s="134"/>
      <c r="HV232" s="134"/>
      <c r="HW232" s="134"/>
      <c r="HX232" s="134"/>
      <c r="HY232" s="134"/>
      <c r="HZ232" s="134"/>
      <c r="IA232" s="134"/>
      <c r="IB232" s="134"/>
      <c r="IC232" s="134"/>
      <c r="ID232" s="134"/>
      <c r="IE232" s="134"/>
      <c r="IF232" s="134"/>
      <c r="IG232" s="134"/>
      <c r="IH232" s="134"/>
      <c r="II232" s="134"/>
      <c r="IJ232" s="134"/>
      <c r="IK232" s="134"/>
      <c r="IL232" s="134"/>
      <c r="IM232" s="134"/>
      <c r="IN232" s="134"/>
      <c r="IO232" s="134"/>
      <c r="IP232" s="134"/>
      <c r="IQ232" s="134"/>
      <c r="IR232" s="134"/>
      <c r="IS232" s="134"/>
      <c r="IT232" s="134"/>
      <c r="IU232" s="134"/>
    </row>
    <row r="233" spans="1:255" ht="135" x14ac:dyDescent="0.2">
      <c r="A233" s="236" t="str">
        <f>'HECVAT - Full'!A233</f>
        <v>PPPR-10</v>
      </c>
      <c r="B233" s="236" t="str">
        <f>VLOOKUP(A233,'HECVAT - Full'!A$24:B$312,2,FALSE)</f>
        <v>Do you have a formal incident response plan?</v>
      </c>
      <c r="C233" s="239" t="s">
        <v>2929</v>
      </c>
      <c r="D233" s="242" t="s">
        <v>2930</v>
      </c>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c r="CQ233" s="134"/>
      <c r="CR233" s="134"/>
      <c r="CS233" s="134"/>
      <c r="CT233" s="134"/>
      <c r="CU233" s="134"/>
      <c r="CV233" s="134"/>
      <c r="CW233" s="134"/>
      <c r="CX233" s="134"/>
      <c r="CY233" s="134"/>
      <c r="CZ233" s="134"/>
      <c r="DA233" s="134"/>
      <c r="DB233" s="134"/>
      <c r="DC233" s="134"/>
      <c r="DD233" s="134"/>
      <c r="DE233" s="134"/>
      <c r="DF233" s="134"/>
      <c r="DG233" s="134"/>
      <c r="DH233" s="134"/>
      <c r="DI233" s="134"/>
      <c r="DJ233" s="134"/>
      <c r="DK233" s="134"/>
      <c r="DL233" s="134"/>
      <c r="DM233" s="134"/>
      <c r="DN233" s="134"/>
      <c r="DO233" s="134"/>
      <c r="DP233" s="134"/>
      <c r="DQ233" s="134"/>
      <c r="DR233" s="134"/>
      <c r="DS233" s="134"/>
      <c r="DT233" s="134"/>
      <c r="DU233" s="134"/>
      <c r="DV233" s="134"/>
      <c r="DW233" s="134"/>
      <c r="DX233" s="134"/>
      <c r="DY233" s="134"/>
      <c r="DZ233" s="134"/>
      <c r="EA233" s="134"/>
      <c r="EB233" s="134"/>
      <c r="EC233" s="134"/>
      <c r="ED233" s="134"/>
      <c r="EE233" s="134"/>
      <c r="EF233" s="134"/>
      <c r="EG233" s="134"/>
      <c r="EH233" s="134"/>
      <c r="EI233" s="134"/>
      <c r="EJ233" s="134"/>
      <c r="EK233" s="134"/>
      <c r="EL233" s="134"/>
      <c r="EM233" s="134"/>
      <c r="EN233" s="134"/>
      <c r="EO233" s="134"/>
      <c r="EP233" s="134"/>
      <c r="EQ233" s="134"/>
      <c r="ER233" s="134"/>
      <c r="ES233" s="134"/>
      <c r="ET233" s="134"/>
      <c r="EU233" s="134"/>
      <c r="EV233" s="134"/>
      <c r="EW233" s="134"/>
      <c r="EX233" s="134"/>
      <c r="EY233" s="134"/>
      <c r="EZ233" s="134"/>
      <c r="FA233" s="134"/>
      <c r="FB233" s="134"/>
      <c r="FC233" s="134"/>
      <c r="FD233" s="134"/>
      <c r="FE233" s="134"/>
      <c r="FF233" s="134"/>
      <c r="FG233" s="134"/>
      <c r="FH233" s="134"/>
      <c r="FI233" s="134"/>
      <c r="FJ233" s="134"/>
      <c r="FK233" s="134"/>
      <c r="FL233" s="134"/>
      <c r="FM233" s="134"/>
      <c r="FN233" s="134"/>
      <c r="FO233" s="134"/>
      <c r="FP233" s="134"/>
      <c r="FQ233" s="134"/>
      <c r="FR233" s="134"/>
      <c r="FS233" s="134"/>
      <c r="FT233" s="134"/>
      <c r="FU233" s="134"/>
      <c r="FV233" s="134"/>
      <c r="FW233" s="134"/>
      <c r="FX233" s="134"/>
      <c r="FY233" s="134"/>
      <c r="FZ233" s="134"/>
      <c r="GA233" s="134"/>
      <c r="GB233" s="134"/>
      <c r="GC233" s="134"/>
      <c r="GD233" s="134"/>
      <c r="GE233" s="134"/>
      <c r="GF233" s="134"/>
      <c r="GG233" s="134"/>
      <c r="GH233" s="134"/>
      <c r="GI233" s="134"/>
      <c r="GJ233" s="134"/>
      <c r="GK233" s="134"/>
      <c r="GL233" s="134"/>
      <c r="GM233" s="134"/>
      <c r="GN233" s="134"/>
      <c r="GO233" s="134"/>
      <c r="GP233" s="134"/>
      <c r="GQ233" s="134"/>
      <c r="GR233" s="134"/>
      <c r="GS233" s="134"/>
      <c r="GT233" s="134"/>
      <c r="GU233" s="134"/>
      <c r="GV233" s="134"/>
      <c r="GW233" s="134"/>
      <c r="GX233" s="134"/>
      <c r="GY233" s="134"/>
      <c r="GZ233" s="134"/>
      <c r="HA233" s="134"/>
      <c r="HB233" s="134"/>
      <c r="HC233" s="134"/>
      <c r="HD233" s="134"/>
      <c r="HE233" s="134"/>
      <c r="HF233" s="134"/>
      <c r="HG233" s="134"/>
      <c r="HH233" s="134"/>
      <c r="HI233" s="134"/>
      <c r="HJ233" s="134"/>
      <c r="HK233" s="134"/>
      <c r="HL233" s="134"/>
      <c r="HM233" s="134"/>
      <c r="HN233" s="134"/>
      <c r="HO233" s="134"/>
      <c r="HP233" s="134"/>
      <c r="HQ233" s="134"/>
      <c r="HR233" s="134"/>
      <c r="HS233" s="134"/>
      <c r="HT233" s="134"/>
      <c r="HU233" s="134"/>
      <c r="HV233" s="134"/>
      <c r="HW233" s="134"/>
      <c r="HX233" s="134"/>
      <c r="HY233" s="134"/>
      <c r="HZ233" s="134"/>
      <c r="IA233" s="134"/>
      <c r="IB233" s="134"/>
      <c r="IC233" s="134"/>
      <c r="ID233" s="134"/>
      <c r="IE233" s="134"/>
      <c r="IF233" s="134"/>
      <c r="IG233" s="134"/>
      <c r="IH233" s="134"/>
      <c r="II233" s="134"/>
      <c r="IJ233" s="134"/>
      <c r="IK233" s="134"/>
      <c r="IL233" s="134"/>
      <c r="IM233" s="134"/>
      <c r="IN233" s="134"/>
      <c r="IO233" s="134"/>
      <c r="IP233" s="134"/>
      <c r="IQ233" s="134"/>
      <c r="IR233" s="134"/>
      <c r="IS233" s="134"/>
      <c r="IT233" s="134"/>
      <c r="IU233" s="134"/>
    </row>
    <row r="234" spans="1:255" ht="63.75" customHeight="1" x14ac:dyDescent="0.2">
      <c r="A234" s="236" t="str">
        <f>'HECVAT - Full'!A234</f>
        <v>PPPR-11</v>
      </c>
      <c r="B234" s="236" t="str">
        <f>VLOOKUP(A234,'HECVAT - Full'!A$24:B$312,2,FALSE)</f>
        <v>Will you comply with applicable breach notification laws?</v>
      </c>
      <c r="C234" s="237" t="s">
        <v>2931</v>
      </c>
      <c r="D234" s="247" t="s">
        <v>2932</v>
      </c>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c r="CQ234" s="134"/>
      <c r="CR234" s="134"/>
      <c r="CS234" s="134"/>
      <c r="CT234" s="134"/>
      <c r="CU234" s="134"/>
      <c r="CV234" s="134"/>
      <c r="CW234" s="134"/>
      <c r="CX234" s="134"/>
      <c r="CY234" s="134"/>
      <c r="CZ234" s="134"/>
      <c r="DA234" s="134"/>
      <c r="DB234" s="134"/>
      <c r="DC234" s="134"/>
      <c r="DD234" s="134"/>
      <c r="DE234" s="134"/>
      <c r="DF234" s="134"/>
      <c r="DG234" s="134"/>
      <c r="DH234" s="134"/>
      <c r="DI234" s="134"/>
      <c r="DJ234" s="134"/>
      <c r="DK234" s="134"/>
      <c r="DL234" s="134"/>
      <c r="DM234" s="134"/>
      <c r="DN234" s="134"/>
      <c r="DO234" s="134"/>
      <c r="DP234" s="134"/>
      <c r="DQ234" s="134"/>
      <c r="DR234" s="134"/>
      <c r="DS234" s="134"/>
      <c r="DT234" s="134"/>
      <c r="DU234" s="134"/>
      <c r="DV234" s="134"/>
      <c r="DW234" s="134"/>
      <c r="DX234" s="134"/>
      <c r="DY234" s="134"/>
      <c r="DZ234" s="134"/>
      <c r="EA234" s="134"/>
      <c r="EB234" s="134"/>
      <c r="EC234" s="134"/>
      <c r="ED234" s="134"/>
      <c r="EE234" s="134"/>
      <c r="EF234" s="134"/>
      <c r="EG234" s="134"/>
      <c r="EH234" s="134"/>
      <c r="EI234" s="134"/>
      <c r="EJ234" s="134"/>
      <c r="EK234" s="134"/>
      <c r="EL234" s="134"/>
      <c r="EM234" s="134"/>
      <c r="EN234" s="134"/>
      <c r="EO234" s="134"/>
      <c r="EP234" s="134"/>
      <c r="EQ234" s="134"/>
      <c r="ER234" s="134"/>
      <c r="ES234" s="134"/>
      <c r="ET234" s="134"/>
      <c r="EU234" s="134"/>
      <c r="EV234" s="134"/>
      <c r="EW234" s="134"/>
      <c r="EX234" s="134"/>
      <c r="EY234" s="134"/>
      <c r="EZ234" s="134"/>
      <c r="FA234" s="134"/>
      <c r="FB234" s="134"/>
      <c r="FC234" s="134"/>
      <c r="FD234" s="134"/>
      <c r="FE234" s="134"/>
      <c r="FF234" s="134"/>
      <c r="FG234" s="134"/>
      <c r="FH234" s="134"/>
      <c r="FI234" s="134"/>
      <c r="FJ234" s="134"/>
      <c r="FK234" s="134"/>
      <c r="FL234" s="134"/>
      <c r="FM234" s="134"/>
      <c r="FN234" s="134"/>
      <c r="FO234" s="134"/>
      <c r="FP234" s="134"/>
      <c r="FQ234" s="134"/>
      <c r="FR234" s="134"/>
      <c r="FS234" s="134"/>
      <c r="FT234" s="134"/>
      <c r="FU234" s="134"/>
      <c r="FV234" s="134"/>
      <c r="FW234" s="134"/>
      <c r="FX234" s="134"/>
      <c r="FY234" s="134"/>
      <c r="FZ234" s="134"/>
      <c r="GA234" s="134"/>
      <c r="GB234" s="134"/>
      <c r="GC234" s="134"/>
      <c r="GD234" s="134"/>
      <c r="GE234" s="134"/>
      <c r="GF234" s="134"/>
      <c r="GG234" s="134"/>
      <c r="GH234" s="134"/>
      <c r="GI234" s="134"/>
      <c r="GJ234" s="134"/>
      <c r="GK234" s="134"/>
      <c r="GL234" s="134"/>
      <c r="GM234" s="134"/>
      <c r="GN234" s="134"/>
      <c r="GO234" s="134"/>
      <c r="GP234" s="134"/>
      <c r="GQ234" s="134"/>
      <c r="GR234" s="134"/>
      <c r="GS234" s="134"/>
      <c r="GT234" s="134"/>
      <c r="GU234" s="134"/>
      <c r="GV234" s="134"/>
      <c r="GW234" s="134"/>
      <c r="GX234" s="134"/>
      <c r="GY234" s="134"/>
      <c r="GZ234" s="134"/>
      <c r="HA234" s="134"/>
      <c r="HB234" s="134"/>
      <c r="HC234" s="134"/>
      <c r="HD234" s="134"/>
      <c r="HE234" s="134"/>
      <c r="HF234" s="134"/>
      <c r="HG234" s="134"/>
      <c r="HH234" s="134"/>
      <c r="HI234" s="134"/>
      <c r="HJ234" s="134"/>
      <c r="HK234" s="134"/>
      <c r="HL234" s="134"/>
      <c r="HM234" s="134"/>
      <c r="HN234" s="134"/>
      <c r="HO234" s="134"/>
      <c r="HP234" s="134"/>
      <c r="HQ234" s="134"/>
      <c r="HR234" s="134"/>
      <c r="HS234" s="134"/>
      <c r="HT234" s="134"/>
      <c r="HU234" s="134"/>
      <c r="HV234" s="134"/>
      <c r="HW234" s="134"/>
      <c r="HX234" s="134"/>
      <c r="HY234" s="134"/>
      <c r="HZ234" s="134"/>
      <c r="IA234" s="134"/>
      <c r="IB234" s="134"/>
      <c r="IC234" s="134"/>
      <c r="ID234" s="134"/>
      <c r="IE234" s="134"/>
      <c r="IF234" s="134"/>
      <c r="IG234" s="134"/>
      <c r="IH234" s="134"/>
      <c r="II234" s="134"/>
      <c r="IJ234" s="134"/>
      <c r="IK234" s="134"/>
      <c r="IL234" s="134"/>
      <c r="IM234" s="134"/>
      <c r="IN234" s="134"/>
      <c r="IO234" s="134"/>
      <c r="IP234" s="134"/>
      <c r="IQ234" s="134"/>
      <c r="IR234" s="134"/>
      <c r="IS234" s="134"/>
      <c r="IT234" s="134"/>
      <c r="IU234" s="134"/>
    </row>
    <row r="235" spans="1:255" ht="63.75" customHeight="1" x14ac:dyDescent="0.2">
      <c r="A235" s="236" t="str">
        <f>'HECVAT - Full'!A235</f>
        <v>PPPR-12</v>
      </c>
      <c r="B235" s="236" t="str">
        <f>VLOOKUP(A235,'HECVAT - Full'!A$24:B$312,2,FALSE)</f>
        <v>Will you comply with the Institution's IT policies with regards to user privacy and data protection?</v>
      </c>
      <c r="C235" s="237" t="s">
        <v>2933</v>
      </c>
      <c r="D235" s="247" t="s">
        <v>2934</v>
      </c>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4"/>
      <c r="DF235" s="134"/>
      <c r="DG235" s="134"/>
      <c r="DH235" s="134"/>
      <c r="DI235" s="134"/>
      <c r="DJ235" s="134"/>
      <c r="DK235" s="134"/>
      <c r="DL235" s="134"/>
      <c r="DM235" s="134"/>
      <c r="DN235" s="134"/>
      <c r="DO235" s="134"/>
      <c r="DP235" s="134"/>
      <c r="DQ235" s="134"/>
      <c r="DR235" s="134"/>
      <c r="DS235" s="134"/>
      <c r="DT235" s="134"/>
      <c r="DU235" s="134"/>
      <c r="DV235" s="134"/>
      <c r="DW235" s="134"/>
      <c r="DX235" s="134"/>
      <c r="DY235" s="134"/>
      <c r="DZ235" s="134"/>
      <c r="EA235" s="134"/>
      <c r="EB235" s="134"/>
      <c r="EC235" s="134"/>
      <c r="ED235" s="134"/>
      <c r="EE235" s="134"/>
      <c r="EF235" s="134"/>
      <c r="EG235" s="134"/>
      <c r="EH235" s="134"/>
      <c r="EI235" s="134"/>
      <c r="EJ235" s="134"/>
      <c r="EK235" s="134"/>
      <c r="EL235" s="134"/>
      <c r="EM235" s="134"/>
      <c r="EN235" s="134"/>
      <c r="EO235" s="134"/>
      <c r="EP235" s="134"/>
      <c r="EQ235" s="134"/>
      <c r="ER235" s="134"/>
      <c r="ES235" s="134"/>
      <c r="ET235" s="134"/>
      <c r="EU235" s="134"/>
      <c r="EV235" s="134"/>
      <c r="EW235" s="134"/>
      <c r="EX235" s="134"/>
      <c r="EY235" s="134"/>
      <c r="EZ235" s="134"/>
      <c r="FA235" s="134"/>
      <c r="FB235" s="134"/>
      <c r="FC235" s="134"/>
      <c r="FD235" s="134"/>
      <c r="FE235" s="134"/>
      <c r="FF235" s="134"/>
      <c r="FG235" s="134"/>
      <c r="FH235" s="134"/>
      <c r="FI235" s="134"/>
      <c r="FJ235" s="134"/>
      <c r="FK235" s="134"/>
      <c r="FL235" s="134"/>
      <c r="FM235" s="134"/>
      <c r="FN235" s="134"/>
      <c r="FO235" s="134"/>
      <c r="FP235" s="134"/>
      <c r="FQ235" s="134"/>
      <c r="FR235" s="134"/>
      <c r="FS235" s="134"/>
      <c r="FT235" s="134"/>
      <c r="FU235" s="134"/>
      <c r="FV235" s="134"/>
      <c r="FW235" s="134"/>
      <c r="FX235" s="134"/>
      <c r="FY235" s="134"/>
      <c r="FZ235" s="134"/>
      <c r="GA235" s="134"/>
      <c r="GB235" s="134"/>
      <c r="GC235" s="134"/>
      <c r="GD235" s="134"/>
      <c r="GE235" s="134"/>
      <c r="GF235" s="134"/>
      <c r="GG235" s="134"/>
      <c r="GH235" s="134"/>
      <c r="GI235" s="134"/>
      <c r="GJ235" s="134"/>
      <c r="GK235" s="134"/>
      <c r="GL235" s="134"/>
      <c r="GM235" s="134"/>
      <c r="GN235" s="134"/>
      <c r="GO235" s="134"/>
      <c r="GP235" s="134"/>
      <c r="GQ235" s="134"/>
      <c r="GR235" s="134"/>
      <c r="GS235" s="134"/>
      <c r="GT235" s="134"/>
      <c r="GU235" s="134"/>
      <c r="GV235" s="134"/>
      <c r="GW235" s="134"/>
      <c r="GX235" s="134"/>
      <c r="GY235" s="134"/>
      <c r="GZ235" s="134"/>
      <c r="HA235" s="134"/>
      <c r="HB235" s="134"/>
      <c r="HC235" s="134"/>
      <c r="HD235" s="134"/>
      <c r="HE235" s="134"/>
      <c r="HF235" s="134"/>
      <c r="HG235" s="134"/>
      <c r="HH235" s="134"/>
      <c r="HI235" s="134"/>
      <c r="HJ235" s="134"/>
      <c r="HK235" s="134"/>
      <c r="HL235" s="134"/>
      <c r="HM235" s="134"/>
      <c r="HN235" s="134"/>
      <c r="HO235" s="134"/>
      <c r="HP235" s="134"/>
      <c r="HQ235" s="134"/>
      <c r="HR235" s="134"/>
      <c r="HS235" s="134"/>
      <c r="HT235" s="134"/>
      <c r="HU235" s="134"/>
      <c r="HV235" s="134"/>
      <c r="HW235" s="134"/>
      <c r="HX235" s="134"/>
      <c r="HY235" s="134"/>
      <c r="HZ235" s="134"/>
      <c r="IA235" s="134"/>
      <c r="IB235" s="134"/>
      <c r="IC235" s="134"/>
      <c r="ID235" s="134"/>
      <c r="IE235" s="134"/>
      <c r="IF235" s="134"/>
      <c r="IG235" s="134"/>
      <c r="IH235" s="134"/>
      <c r="II235" s="134"/>
      <c r="IJ235" s="134"/>
      <c r="IK235" s="134"/>
      <c r="IL235" s="134"/>
      <c r="IM235" s="134"/>
      <c r="IN235" s="134"/>
      <c r="IO235" s="134"/>
      <c r="IP235" s="134"/>
      <c r="IQ235" s="134"/>
      <c r="IR235" s="134"/>
      <c r="IS235" s="134"/>
      <c r="IT235" s="134"/>
      <c r="IU235" s="134"/>
    </row>
    <row r="236" spans="1:255" ht="63" customHeight="1" x14ac:dyDescent="0.2">
      <c r="A236" s="236" t="str">
        <f>'HECVAT - Full'!A236</f>
        <v>PPPR-13</v>
      </c>
      <c r="B236" s="236" t="str">
        <f>VLOOKUP(A236,'HECVAT - Full'!A$24:B$312,2,FALSE)</f>
        <v>Is your company subject to Institution's Data Zone laws and regulations?</v>
      </c>
      <c r="C236" s="237" t="s">
        <v>2931</v>
      </c>
      <c r="D236" s="247" t="s">
        <v>2932</v>
      </c>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c r="CZ236" s="134"/>
      <c r="DA236" s="134"/>
      <c r="DB236" s="134"/>
      <c r="DC236" s="134"/>
      <c r="DD236" s="134"/>
      <c r="DE236" s="134"/>
      <c r="DF236" s="134"/>
      <c r="DG236" s="134"/>
      <c r="DH236" s="134"/>
      <c r="DI236" s="134"/>
      <c r="DJ236" s="134"/>
      <c r="DK236" s="134"/>
      <c r="DL236" s="134"/>
      <c r="DM236" s="134"/>
      <c r="DN236" s="134"/>
      <c r="DO236" s="134"/>
      <c r="DP236" s="134"/>
      <c r="DQ236" s="134"/>
      <c r="DR236" s="134"/>
      <c r="DS236" s="134"/>
      <c r="DT236" s="134"/>
      <c r="DU236" s="134"/>
      <c r="DV236" s="134"/>
      <c r="DW236" s="134"/>
      <c r="DX236" s="134"/>
      <c r="DY236" s="134"/>
      <c r="DZ236" s="134"/>
      <c r="EA236" s="134"/>
      <c r="EB236" s="134"/>
      <c r="EC236" s="134"/>
      <c r="ED236" s="134"/>
      <c r="EE236" s="134"/>
      <c r="EF236" s="134"/>
      <c r="EG236" s="134"/>
      <c r="EH236" s="134"/>
      <c r="EI236" s="134"/>
      <c r="EJ236" s="134"/>
      <c r="EK236" s="134"/>
      <c r="EL236" s="134"/>
      <c r="EM236" s="134"/>
      <c r="EN236" s="134"/>
      <c r="EO236" s="134"/>
      <c r="EP236" s="134"/>
      <c r="EQ236" s="134"/>
      <c r="ER236" s="134"/>
      <c r="ES236" s="134"/>
      <c r="ET236" s="134"/>
      <c r="EU236" s="134"/>
      <c r="EV236" s="134"/>
      <c r="EW236" s="134"/>
      <c r="EX236" s="134"/>
      <c r="EY236" s="134"/>
      <c r="EZ236" s="134"/>
      <c r="FA236" s="134"/>
      <c r="FB236" s="134"/>
      <c r="FC236" s="134"/>
      <c r="FD236" s="134"/>
      <c r="FE236" s="134"/>
      <c r="FF236" s="134"/>
      <c r="FG236" s="134"/>
      <c r="FH236" s="134"/>
      <c r="FI236" s="134"/>
      <c r="FJ236" s="134"/>
      <c r="FK236" s="134"/>
      <c r="FL236" s="134"/>
      <c r="FM236" s="134"/>
      <c r="FN236" s="134"/>
      <c r="FO236" s="134"/>
      <c r="FP236" s="134"/>
      <c r="FQ236" s="134"/>
      <c r="FR236" s="134"/>
      <c r="FS236" s="134"/>
      <c r="FT236" s="134"/>
      <c r="FU236" s="134"/>
      <c r="FV236" s="134"/>
      <c r="FW236" s="134"/>
      <c r="FX236" s="134"/>
      <c r="FY236" s="134"/>
      <c r="FZ236" s="134"/>
      <c r="GA236" s="134"/>
      <c r="GB236" s="134"/>
      <c r="GC236" s="134"/>
      <c r="GD236" s="134"/>
      <c r="GE236" s="134"/>
      <c r="GF236" s="134"/>
      <c r="GG236" s="134"/>
      <c r="GH236" s="134"/>
      <c r="GI236" s="134"/>
      <c r="GJ236" s="134"/>
      <c r="GK236" s="134"/>
      <c r="GL236" s="134"/>
      <c r="GM236" s="134"/>
      <c r="GN236" s="134"/>
      <c r="GO236" s="134"/>
      <c r="GP236" s="134"/>
      <c r="GQ236" s="134"/>
      <c r="GR236" s="134"/>
      <c r="GS236" s="134"/>
      <c r="GT236" s="134"/>
      <c r="GU236" s="134"/>
      <c r="GV236" s="134"/>
      <c r="GW236" s="134"/>
      <c r="GX236" s="134"/>
      <c r="GY236" s="134"/>
      <c r="GZ236" s="134"/>
      <c r="HA236" s="134"/>
      <c r="HB236" s="134"/>
      <c r="HC236" s="134"/>
      <c r="HD236" s="134"/>
      <c r="HE236" s="134"/>
      <c r="HF236" s="134"/>
      <c r="HG236" s="134"/>
      <c r="HH236" s="134"/>
      <c r="HI236" s="134"/>
      <c r="HJ236" s="134"/>
      <c r="HK236" s="134"/>
      <c r="HL236" s="134"/>
      <c r="HM236" s="134"/>
      <c r="HN236" s="134"/>
      <c r="HO236" s="134"/>
      <c r="HP236" s="134"/>
      <c r="HQ236" s="134"/>
      <c r="HR236" s="134"/>
      <c r="HS236" s="134"/>
      <c r="HT236" s="134"/>
      <c r="HU236" s="134"/>
      <c r="HV236" s="134"/>
      <c r="HW236" s="134"/>
      <c r="HX236" s="134"/>
      <c r="HY236" s="134"/>
      <c r="HZ236" s="134"/>
      <c r="IA236" s="134"/>
      <c r="IB236" s="134"/>
      <c r="IC236" s="134"/>
      <c r="ID236" s="134"/>
      <c r="IE236" s="134"/>
      <c r="IF236" s="134"/>
      <c r="IG236" s="134"/>
      <c r="IH236" s="134"/>
      <c r="II236" s="134"/>
      <c r="IJ236" s="134"/>
      <c r="IK236" s="134"/>
      <c r="IL236" s="134"/>
      <c r="IM236" s="134"/>
      <c r="IN236" s="134"/>
      <c r="IO236" s="134"/>
      <c r="IP236" s="134"/>
      <c r="IQ236" s="134"/>
      <c r="IR236" s="134"/>
      <c r="IS236" s="134"/>
      <c r="IT236" s="134"/>
      <c r="IU236" s="134"/>
    </row>
    <row r="237" spans="1:255" ht="90" customHeight="1" x14ac:dyDescent="0.2">
      <c r="A237" s="236" t="str">
        <f>'HECVAT - Full'!A237</f>
        <v>PPPR-14</v>
      </c>
      <c r="B237" s="236" t="str">
        <f>VLOOKUP(A237,'HECVAT - Full'!A$24:B$312,2,FALSE)</f>
        <v>Do you perform background screenings or multi-state background checks on all employees prior to their first day of work?</v>
      </c>
      <c r="C237" s="237" t="s">
        <v>2935</v>
      </c>
      <c r="D237" s="247" t="s">
        <v>2936</v>
      </c>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c r="CQ237" s="134"/>
      <c r="CR237" s="134"/>
      <c r="CS237" s="134"/>
      <c r="CT237" s="134"/>
      <c r="CU237" s="134"/>
      <c r="CV237" s="134"/>
      <c r="CW237" s="134"/>
      <c r="CX237" s="134"/>
      <c r="CY237" s="134"/>
      <c r="CZ237" s="134"/>
      <c r="DA237" s="134"/>
      <c r="DB237" s="134"/>
      <c r="DC237" s="134"/>
      <c r="DD237" s="134"/>
      <c r="DE237" s="134"/>
      <c r="DF237" s="134"/>
      <c r="DG237" s="134"/>
      <c r="DH237" s="134"/>
      <c r="DI237" s="134"/>
      <c r="DJ237" s="134"/>
      <c r="DK237" s="134"/>
      <c r="DL237" s="134"/>
      <c r="DM237" s="134"/>
      <c r="DN237" s="134"/>
      <c r="DO237" s="134"/>
      <c r="DP237" s="134"/>
      <c r="DQ237" s="134"/>
      <c r="DR237" s="134"/>
      <c r="DS237" s="134"/>
      <c r="DT237" s="134"/>
      <c r="DU237" s="134"/>
      <c r="DV237" s="134"/>
      <c r="DW237" s="134"/>
      <c r="DX237" s="134"/>
      <c r="DY237" s="134"/>
      <c r="DZ237" s="134"/>
      <c r="EA237" s="134"/>
      <c r="EB237" s="134"/>
      <c r="EC237" s="134"/>
      <c r="ED237" s="134"/>
      <c r="EE237" s="134"/>
      <c r="EF237" s="134"/>
      <c r="EG237" s="134"/>
      <c r="EH237" s="134"/>
      <c r="EI237" s="134"/>
      <c r="EJ237" s="134"/>
      <c r="EK237" s="134"/>
      <c r="EL237" s="134"/>
      <c r="EM237" s="134"/>
      <c r="EN237" s="134"/>
      <c r="EO237" s="134"/>
      <c r="EP237" s="134"/>
      <c r="EQ237" s="134"/>
      <c r="ER237" s="134"/>
      <c r="ES237" s="134"/>
      <c r="ET237" s="134"/>
      <c r="EU237" s="134"/>
      <c r="EV237" s="134"/>
      <c r="EW237" s="134"/>
      <c r="EX237" s="134"/>
      <c r="EY237" s="134"/>
      <c r="EZ237" s="134"/>
      <c r="FA237" s="134"/>
      <c r="FB237" s="134"/>
      <c r="FC237" s="134"/>
      <c r="FD237" s="134"/>
      <c r="FE237" s="134"/>
      <c r="FF237" s="134"/>
      <c r="FG237" s="134"/>
      <c r="FH237" s="134"/>
      <c r="FI237" s="134"/>
      <c r="FJ237" s="134"/>
      <c r="FK237" s="134"/>
      <c r="FL237" s="134"/>
      <c r="FM237" s="134"/>
      <c r="FN237" s="134"/>
      <c r="FO237" s="134"/>
      <c r="FP237" s="134"/>
      <c r="FQ237" s="134"/>
      <c r="FR237" s="134"/>
      <c r="FS237" s="134"/>
      <c r="FT237" s="134"/>
      <c r="FU237" s="134"/>
      <c r="FV237" s="134"/>
      <c r="FW237" s="134"/>
      <c r="FX237" s="134"/>
      <c r="FY237" s="134"/>
      <c r="FZ237" s="134"/>
      <c r="GA237" s="134"/>
      <c r="GB237" s="134"/>
      <c r="GC237" s="134"/>
      <c r="GD237" s="134"/>
      <c r="GE237" s="134"/>
      <c r="GF237" s="134"/>
      <c r="GG237" s="134"/>
      <c r="GH237" s="134"/>
      <c r="GI237" s="134"/>
      <c r="GJ237" s="134"/>
      <c r="GK237" s="134"/>
      <c r="GL237" s="134"/>
      <c r="GM237" s="134"/>
      <c r="GN237" s="134"/>
      <c r="GO237" s="134"/>
      <c r="GP237" s="134"/>
      <c r="GQ237" s="134"/>
      <c r="GR237" s="134"/>
      <c r="GS237" s="134"/>
      <c r="GT237" s="134"/>
      <c r="GU237" s="134"/>
      <c r="GV237" s="134"/>
      <c r="GW237" s="134"/>
      <c r="GX237" s="134"/>
      <c r="GY237" s="134"/>
      <c r="GZ237" s="134"/>
      <c r="HA237" s="134"/>
      <c r="HB237" s="134"/>
      <c r="HC237" s="134"/>
      <c r="HD237" s="134"/>
      <c r="HE237" s="134"/>
      <c r="HF237" s="134"/>
      <c r="HG237" s="134"/>
      <c r="HH237" s="134"/>
      <c r="HI237" s="134"/>
      <c r="HJ237" s="134"/>
      <c r="HK237" s="134"/>
      <c r="HL237" s="134"/>
      <c r="HM237" s="134"/>
      <c r="HN237" s="134"/>
      <c r="HO237" s="134"/>
      <c r="HP237" s="134"/>
      <c r="HQ237" s="134"/>
      <c r="HR237" s="134"/>
      <c r="HS237" s="134"/>
      <c r="HT237" s="134"/>
      <c r="HU237" s="134"/>
      <c r="HV237" s="134"/>
      <c r="HW237" s="134"/>
      <c r="HX237" s="134"/>
      <c r="HY237" s="134"/>
      <c r="HZ237" s="134"/>
      <c r="IA237" s="134"/>
      <c r="IB237" s="134"/>
      <c r="IC237" s="134"/>
      <c r="ID237" s="134"/>
      <c r="IE237" s="134"/>
      <c r="IF237" s="134"/>
      <c r="IG237" s="134"/>
      <c r="IH237" s="134"/>
      <c r="II237" s="134"/>
      <c r="IJ237" s="134"/>
      <c r="IK237" s="134"/>
      <c r="IL237" s="134"/>
      <c r="IM237" s="134"/>
      <c r="IN237" s="134"/>
      <c r="IO237" s="134"/>
      <c r="IP237" s="134"/>
      <c r="IQ237" s="134"/>
      <c r="IR237" s="134"/>
      <c r="IS237" s="134"/>
      <c r="IT237" s="134"/>
      <c r="IU237" s="134"/>
    </row>
    <row r="238" spans="1:255" ht="75" x14ac:dyDescent="0.2">
      <c r="A238" s="236" t="str">
        <f>'HECVAT - Full'!A238</f>
        <v>PPPR-15</v>
      </c>
      <c r="B238" s="236" t="str">
        <f>VLOOKUP(A238,'HECVAT - Full'!A$24:B$312,2,FALSE)</f>
        <v xml:space="preserve">Do you require new employees to fill out agreements and review policies?  </v>
      </c>
      <c r="C238" s="237" t="s">
        <v>2937</v>
      </c>
      <c r="D238" s="247" t="s">
        <v>2938</v>
      </c>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c r="CZ238" s="134"/>
      <c r="DA238" s="134"/>
      <c r="DB238" s="134"/>
      <c r="DC238" s="134"/>
      <c r="DD238" s="134"/>
      <c r="DE238" s="134"/>
      <c r="DF238" s="134"/>
      <c r="DG238" s="134"/>
      <c r="DH238" s="134"/>
      <c r="DI238" s="134"/>
      <c r="DJ238" s="134"/>
      <c r="DK238" s="134"/>
      <c r="DL238" s="134"/>
      <c r="DM238" s="134"/>
      <c r="DN238" s="134"/>
      <c r="DO238" s="134"/>
      <c r="DP238" s="134"/>
      <c r="DQ238" s="134"/>
      <c r="DR238" s="134"/>
      <c r="DS238" s="134"/>
      <c r="DT238" s="134"/>
      <c r="DU238" s="134"/>
      <c r="DV238" s="134"/>
      <c r="DW238" s="134"/>
      <c r="DX238" s="134"/>
      <c r="DY238" s="134"/>
      <c r="DZ238" s="134"/>
      <c r="EA238" s="134"/>
      <c r="EB238" s="134"/>
      <c r="EC238" s="134"/>
      <c r="ED238" s="134"/>
      <c r="EE238" s="134"/>
      <c r="EF238" s="134"/>
      <c r="EG238" s="134"/>
      <c r="EH238" s="134"/>
      <c r="EI238" s="134"/>
      <c r="EJ238" s="134"/>
      <c r="EK238" s="134"/>
      <c r="EL238" s="134"/>
      <c r="EM238" s="134"/>
      <c r="EN238" s="134"/>
      <c r="EO238" s="134"/>
      <c r="EP238" s="134"/>
      <c r="EQ238" s="134"/>
      <c r="ER238" s="134"/>
      <c r="ES238" s="134"/>
      <c r="ET238" s="134"/>
      <c r="EU238" s="134"/>
      <c r="EV238" s="134"/>
      <c r="EW238" s="134"/>
      <c r="EX238" s="134"/>
      <c r="EY238" s="134"/>
      <c r="EZ238" s="134"/>
      <c r="FA238" s="134"/>
      <c r="FB238" s="134"/>
      <c r="FC238" s="134"/>
      <c r="FD238" s="134"/>
      <c r="FE238" s="134"/>
      <c r="FF238" s="134"/>
      <c r="FG238" s="134"/>
      <c r="FH238" s="134"/>
      <c r="FI238" s="134"/>
      <c r="FJ238" s="134"/>
      <c r="FK238" s="134"/>
      <c r="FL238" s="134"/>
      <c r="FM238" s="134"/>
      <c r="FN238" s="134"/>
      <c r="FO238" s="134"/>
      <c r="FP238" s="134"/>
      <c r="FQ238" s="134"/>
      <c r="FR238" s="134"/>
      <c r="FS238" s="134"/>
      <c r="FT238" s="134"/>
      <c r="FU238" s="134"/>
      <c r="FV238" s="134"/>
      <c r="FW238" s="134"/>
      <c r="FX238" s="134"/>
      <c r="FY238" s="134"/>
      <c r="FZ238" s="134"/>
      <c r="GA238" s="134"/>
      <c r="GB238" s="134"/>
      <c r="GC238" s="134"/>
      <c r="GD238" s="134"/>
      <c r="GE238" s="134"/>
      <c r="GF238" s="134"/>
      <c r="GG238" s="134"/>
      <c r="GH238" s="134"/>
      <c r="GI238" s="134"/>
      <c r="GJ238" s="134"/>
      <c r="GK238" s="134"/>
      <c r="GL238" s="134"/>
      <c r="GM238" s="134"/>
      <c r="GN238" s="134"/>
      <c r="GO238" s="134"/>
      <c r="GP238" s="134"/>
      <c r="GQ238" s="134"/>
      <c r="GR238" s="134"/>
      <c r="GS238" s="134"/>
      <c r="GT238" s="134"/>
      <c r="GU238" s="134"/>
      <c r="GV238" s="134"/>
      <c r="GW238" s="134"/>
      <c r="GX238" s="134"/>
      <c r="GY238" s="134"/>
      <c r="GZ238" s="134"/>
      <c r="HA238" s="134"/>
      <c r="HB238" s="134"/>
      <c r="HC238" s="134"/>
      <c r="HD238" s="134"/>
      <c r="HE238" s="134"/>
      <c r="HF238" s="134"/>
      <c r="HG238" s="134"/>
      <c r="HH238" s="134"/>
      <c r="HI238" s="134"/>
      <c r="HJ238" s="134"/>
      <c r="HK238" s="134"/>
      <c r="HL238" s="134"/>
      <c r="HM238" s="134"/>
      <c r="HN238" s="134"/>
      <c r="HO238" s="134"/>
      <c r="HP238" s="134"/>
      <c r="HQ238" s="134"/>
      <c r="HR238" s="134"/>
      <c r="HS238" s="134"/>
      <c r="HT238" s="134"/>
      <c r="HU238" s="134"/>
      <c r="HV238" s="134"/>
      <c r="HW238" s="134"/>
      <c r="HX238" s="134"/>
      <c r="HY238" s="134"/>
      <c r="HZ238" s="134"/>
      <c r="IA238" s="134"/>
      <c r="IB238" s="134"/>
      <c r="IC238" s="134"/>
      <c r="ID238" s="134"/>
      <c r="IE238" s="134"/>
      <c r="IF238" s="134"/>
      <c r="IG238" s="134"/>
      <c r="IH238" s="134"/>
      <c r="II238" s="134"/>
      <c r="IJ238" s="134"/>
      <c r="IK238" s="134"/>
      <c r="IL238" s="134"/>
      <c r="IM238" s="134"/>
      <c r="IN238" s="134"/>
      <c r="IO238" s="134"/>
      <c r="IP238" s="134"/>
      <c r="IQ238" s="134"/>
      <c r="IR238" s="134"/>
      <c r="IS238" s="134"/>
      <c r="IT238" s="134"/>
      <c r="IU238" s="134"/>
    </row>
    <row r="239" spans="1:255" ht="105" x14ac:dyDescent="0.2">
      <c r="A239" s="236" t="str">
        <f>'HECVAT - Full'!A239</f>
        <v>PPPR-16</v>
      </c>
      <c r="B239" s="236" t="str">
        <f>VLOOKUP(A239,'HECVAT - Full'!A$24:B$312,2,FALSE)</f>
        <v>Do you have documented information security policy?</v>
      </c>
      <c r="C239" s="239" t="s">
        <v>2939</v>
      </c>
      <c r="D239" s="242" t="s">
        <v>2940</v>
      </c>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K239" s="134"/>
      <c r="CL239" s="134"/>
      <c r="CM239" s="134"/>
      <c r="CN239" s="134"/>
      <c r="CO239" s="134"/>
      <c r="CP239" s="134"/>
      <c r="CQ239" s="134"/>
      <c r="CR239" s="134"/>
      <c r="CS239" s="134"/>
      <c r="CT239" s="134"/>
      <c r="CU239" s="134"/>
      <c r="CV239" s="134"/>
      <c r="CW239" s="134"/>
      <c r="CX239" s="134"/>
      <c r="CY239" s="134"/>
      <c r="CZ239" s="134"/>
      <c r="DA239" s="134"/>
      <c r="DB239" s="134"/>
      <c r="DC239" s="134"/>
      <c r="DD239" s="134"/>
      <c r="DE239" s="134"/>
      <c r="DF239" s="134"/>
      <c r="DG239" s="134"/>
      <c r="DH239" s="134"/>
      <c r="DI239" s="134"/>
      <c r="DJ239" s="134"/>
      <c r="DK239" s="134"/>
      <c r="DL239" s="134"/>
      <c r="DM239" s="134"/>
      <c r="DN239" s="134"/>
      <c r="DO239" s="134"/>
      <c r="DP239" s="134"/>
      <c r="DQ239" s="134"/>
      <c r="DR239" s="134"/>
      <c r="DS239" s="134"/>
      <c r="DT239" s="134"/>
      <c r="DU239" s="134"/>
      <c r="DV239" s="134"/>
      <c r="DW239" s="134"/>
      <c r="DX239" s="134"/>
      <c r="DY239" s="134"/>
      <c r="DZ239" s="134"/>
      <c r="EA239" s="134"/>
      <c r="EB239" s="134"/>
      <c r="EC239" s="134"/>
      <c r="ED239" s="134"/>
      <c r="EE239" s="134"/>
      <c r="EF239" s="134"/>
      <c r="EG239" s="134"/>
      <c r="EH239" s="134"/>
      <c r="EI239" s="134"/>
      <c r="EJ239" s="134"/>
      <c r="EK239" s="134"/>
      <c r="EL239" s="134"/>
      <c r="EM239" s="134"/>
      <c r="EN239" s="134"/>
      <c r="EO239" s="134"/>
      <c r="EP239" s="134"/>
      <c r="EQ239" s="134"/>
      <c r="ER239" s="134"/>
      <c r="ES239" s="134"/>
      <c r="ET239" s="134"/>
      <c r="EU239" s="134"/>
      <c r="EV239" s="134"/>
      <c r="EW239" s="134"/>
      <c r="EX239" s="134"/>
      <c r="EY239" s="134"/>
      <c r="EZ239" s="134"/>
      <c r="FA239" s="134"/>
      <c r="FB239" s="134"/>
      <c r="FC239" s="134"/>
      <c r="FD239" s="134"/>
      <c r="FE239" s="134"/>
      <c r="FF239" s="134"/>
      <c r="FG239" s="134"/>
      <c r="FH239" s="134"/>
      <c r="FI239" s="134"/>
      <c r="FJ239" s="134"/>
      <c r="FK239" s="134"/>
      <c r="FL239" s="134"/>
      <c r="FM239" s="134"/>
      <c r="FN239" s="134"/>
      <c r="FO239" s="134"/>
      <c r="FP239" s="134"/>
      <c r="FQ239" s="134"/>
      <c r="FR239" s="134"/>
      <c r="FS239" s="134"/>
      <c r="FT239" s="134"/>
      <c r="FU239" s="134"/>
      <c r="FV239" s="134"/>
      <c r="FW239" s="134"/>
      <c r="FX239" s="134"/>
      <c r="FY239" s="134"/>
      <c r="FZ239" s="134"/>
      <c r="GA239" s="134"/>
      <c r="GB239" s="134"/>
      <c r="GC239" s="134"/>
      <c r="GD239" s="134"/>
      <c r="GE239" s="134"/>
      <c r="GF239" s="134"/>
      <c r="GG239" s="134"/>
      <c r="GH239" s="134"/>
      <c r="GI239" s="134"/>
      <c r="GJ239" s="134"/>
      <c r="GK239" s="134"/>
      <c r="GL239" s="134"/>
      <c r="GM239" s="134"/>
      <c r="GN239" s="134"/>
      <c r="GO239" s="134"/>
      <c r="GP239" s="134"/>
      <c r="GQ239" s="134"/>
      <c r="GR239" s="134"/>
      <c r="GS239" s="134"/>
      <c r="GT239" s="134"/>
      <c r="GU239" s="134"/>
      <c r="GV239" s="134"/>
      <c r="GW239" s="134"/>
      <c r="GX239" s="134"/>
      <c r="GY239" s="134"/>
      <c r="GZ239" s="134"/>
      <c r="HA239" s="134"/>
      <c r="HB239" s="134"/>
      <c r="HC239" s="134"/>
      <c r="HD239" s="134"/>
      <c r="HE239" s="134"/>
      <c r="HF239" s="134"/>
      <c r="HG239" s="134"/>
      <c r="HH239" s="134"/>
      <c r="HI239" s="134"/>
      <c r="HJ239" s="134"/>
      <c r="HK239" s="134"/>
      <c r="HL239" s="134"/>
      <c r="HM239" s="134"/>
      <c r="HN239" s="134"/>
      <c r="HO239" s="134"/>
      <c r="HP239" s="134"/>
      <c r="HQ239" s="134"/>
      <c r="HR239" s="134"/>
      <c r="HS239" s="134"/>
      <c r="HT239" s="134"/>
      <c r="HU239" s="134"/>
      <c r="HV239" s="134"/>
      <c r="HW239" s="134"/>
      <c r="HX239" s="134"/>
      <c r="HY239" s="134"/>
      <c r="HZ239" s="134"/>
      <c r="IA239" s="134"/>
      <c r="IB239" s="134"/>
      <c r="IC239" s="134"/>
      <c r="ID239" s="134"/>
      <c r="IE239" s="134"/>
      <c r="IF239" s="134"/>
      <c r="IG239" s="134"/>
      <c r="IH239" s="134"/>
      <c r="II239" s="134"/>
      <c r="IJ239" s="134"/>
      <c r="IK239" s="134"/>
      <c r="IL239" s="134"/>
      <c r="IM239" s="134"/>
      <c r="IN239" s="134"/>
      <c r="IO239" s="134"/>
      <c r="IP239" s="134"/>
      <c r="IQ239" s="134"/>
      <c r="IR239" s="134"/>
      <c r="IS239" s="134"/>
      <c r="IT239" s="134"/>
      <c r="IU239" s="134"/>
    </row>
    <row r="240" spans="1:255" ht="90" x14ac:dyDescent="0.2">
      <c r="A240" s="236" t="str">
        <f>'HECVAT - Full'!A240</f>
        <v>PPPR-17</v>
      </c>
      <c r="B240" s="236" t="str">
        <f>VLOOKUP(A240,'HECVAT - Full'!A$24:B$312,2,FALSE)</f>
        <v>Do you have an information security awareness program?</v>
      </c>
      <c r="C240" s="237" t="s">
        <v>2941</v>
      </c>
      <c r="D240" s="247" t="s">
        <v>2942</v>
      </c>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c r="CZ240" s="134"/>
      <c r="DA240" s="134"/>
      <c r="DB240" s="134"/>
      <c r="DC240" s="134"/>
      <c r="DD240" s="134"/>
      <c r="DE240" s="134"/>
      <c r="DF240" s="134"/>
      <c r="DG240" s="134"/>
      <c r="DH240" s="134"/>
      <c r="DI240" s="134"/>
      <c r="DJ240" s="134"/>
      <c r="DK240" s="134"/>
      <c r="DL240" s="134"/>
      <c r="DM240" s="134"/>
      <c r="DN240" s="134"/>
      <c r="DO240" s="134"/>
      <c r="DP240" s="134"/>
      <c r="DQ240" s="134"/>
      <c r="DR240" s="134"/>
      <c r="DS240" s="134"/>
      <c r="DT240" s="134"/>
      <c r="DU240" s="134"/>
      <c r="DV240" s="134"/>
      <c r="DW240" s="134"/>
      <c r="DX240" s="134"/>
      <c r="DY240" s="134"/>
      <c r="DZ240" s="134"/>
      <c r="EA240" s="134"/>
      <c r="EB240" s="134"/>
      <c r="EC240" s="134"/>
      <c r="ED240" s="134"/>
      <c r="EE240" s="134"/>
      <c r="EF240" s="134"/>
      <c r="EG240" s="134"/>
      <c r="EH240" s="134"/>
      <c r="EI240" s="134"/>
      <c r="EJ240" s="134"/>
      <c r="EK240" s="134"/>
      <c r="EL240" s="134"/>
      <c r="EM240" s="134"/>
      <c r="EN240" s="134"/>
      <c r="EO240" s="134"/>
      <c r="EP240" s="134"/>
      <c r="EQ240" s="134"/>
      <c r="ER240" s="134"/>
      <c r="ES240" s="134"/>
      <c r="ET240" s="134"/>
      <c r="EU240" s="134"/>
      <c r="EV240" s="134"/>
      <c r="EW240" s="134"/>
      <c r="EX240" s="134"/>
      <c r="EY240" s="134"/>
      <c r="EZ240" s="134"/>
      <c r="FA240" s="134"/>
      <c r="FB240" s="134"/>
      <c r="FC240" s="134"/>
      <c r="FD240" s="134"/>
      <c r="FE240" s="134"/>
      <c r="FF240" s="134"/>
      <c r="FG240" s="134"/>
      <c r="FH240" s="134"/>
      <c r="FI240" s="134"/>
      <c r="FJ240" s="134"/>
      <c r="FK240" s="134"/>
      <c r="FL240" s="134"/>
      <c r="FM240" s="134"/>
      <c r="FN240" s="134"/>
      <c r="FO240" s="134"/>
      <c r="FP240" s="134"/>
      <c r="FQ240" s="134"/>
      <c r="FR240" s="134"/>
      <c r="FS240" s="134"/>
      <c r="FT240" s="134"/>
      <c r="FU240" s="134"/>
      <c r="FV240" s="134"/>
      <c r="FW240" s="134"/>
      <c r="FX240" s="134"/>
      <c r="FY240" s="134"/>
      <c r="FZ240" s="134"/>
      <c r="GA240" s="134"/>
      <c r="GB240" s="134"/>
      <c r="GC240" s="134"/>
      <c r="GD240" s="134"/>
      <c r="GE240" s="134"/>
      <c r="GF240" s="134"/>
      <c r="GG240" s="134"/>
      <c r="GH240" s="134"/>
      <c r="GI240" s="134"/>
      <c r="GJ240" s="134"/>
      <c r="GK240" s="134"/>
      <c r="GL240" s="134"/>
      <c r="GM240" s="134"/>
      <c r="GN240" s="134"/>
      <c r="GO240" s="134"/>
      <c r="GP240" s="134"/>
      <c r="GQ240" s="134"/>
      <c r="GR240" s="134"/>
      <c r="GS240" s="134"/>
      <c r="GT240" s="134"/>
      <c r="GU240" s="134"/>
      <c r="GV240" s="134"/>
      <c r="GW240" s="134"/>
      <c r="GX240" s="134"/>
      <c r="GY240" s="134"/>
      <c r="GZ240" s="134"/>
      <c r="HA240" s="134"/>
      <c r="HB240" s="134"/>
      <c r="HC240" s="134"/>
      <c r="HD240" s="134"/>
      <c r="HE240" s="134"/>
      <c r="HF240" s="134"/>
      <c r="HG240" s="134"/>
      <c r="HH240" s="134"/>
      <c r="HI240" s="134"/>
      <c r="HJ240" s="134"/>
      <c r="HK240" s="134"/>
      <c r="HL240" s="134"/>
      <c r="HM240" s="134"/>
      <c r="HN240" s="134"/>
      <c r="HO240" s="134"/>
      <c r="HP240" s="134"/>
      <c r="HQ240" s="134"/>
      <c r="HR240" s="134"/>
      <c r="HS240" s="134"/>
      <c r="HT240" s="134"/>
      <c r="HU240" s="134"/>
      <c r="HV240" s="134"/>
      <c r="HW240" s="134"/>
      <c r="HX240" s="134"/>
      <c r="HY240" s="134"/>
      <c r="HZ240" s="134"/>
      <c r="IA240" s="134"/>
      <c r="IB240" s="134"/>
      <c r="IC240" s="134"/>
      <c r="ID240" s="134"/>
      <c r="IE240" s="134"/>
      <c r="IF240" s="134"/>
      <c r="IG240" s="134"/>
      <c r="IH240" s="134"/>
      <c r="II240" s="134"/>
      <c r="IJ240" s="134"/>
      <c r="IK240" s="134"/>
      <c r="IL240" s="134"/>
      <c r="IM240" s="134"/>
      <c r="IN240" s="134"/>
      <c r="IO240" s="134"/>
      <c r="IP240" s="134"/>
      <c r="IQ240" s="134"/>
      <c r="IR240" s="134"/>
      <c r="IS240" s="134"/>
      <c r="IT240" s="134"/>
      <c r="IU240" s="134"/>
    </row>
    <row r="241" spans="1:255" ht="90" x14ac:dyDescent="0.2">
      <c r="A241" s="236" t="str">
        <f>'HECVAT - Full'!A241</f>
        <v>PPPR-18</v>
      </c>
      <c r="B241" s="236" t="str">
        <f>VLOOKUP(A241,'HECVAT - Full'!A$24:B$312,2,FALSE)</f>
        <v>Is security awareness training mandatory for all employees?</v>
      </c>
      <c r="C241" s="237" t="s">
        <v>2941</v>
      </c>
      <c r="D241" s="247" t="s">
        <v>2942</v>
      </c>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34"/>
      <c r="BQ241" s="134"/>
      <c r="BR241" s="134"/>
      <c r="BS241" s="134"/>
      <c r="BT241" s="134"/>
      <c r="BU241" s="134"/>
      <c r="BV241" s="134"/>
      <c r="BW241" s="134"/>
      <c r="BX241" s="134"/>
      <c r="BY241" s="134"/>
      <c r="BZ241" s="134"/>
      <c r="CA241" s="134"/>
      <c r="CB241" s="134"/>
      <c r="CC241" s="134"/>
      <c r="CD241" s="134"/>
      <c r="CE241" s="134"/>
      <c r="CF241" s="134"/>
      <c r="CG241" s="134"/>
      <c r="CH241" s="134"/>
      <c r="CI241" s="134"/>
      <c r="CJ241" s="134"/>
      <c r="CK241" s="134"/>
      <c r="CL241" s="134"/>
      <c r="CM241" s="134"/>
      <c r="CN241" s="134"/>
      <c r="CO241" s="134"/>
      <c r="CP241" s="134"/>
      <c r="CQ241" s="134"/>
      <c r="CR241" s="134"/>
      <c r="CS241" s="134"/>
      <c r="CT241" s="134"/>
      <c r="CU241" s="134"/>
      <c r="CV241" s="134"/>
      <c r="CW241" s="134"/>
      <c r="CX241" s="134"/>
      <c r="CY241" s="134"/>
      <c r="CZ241" s="134"/>
      <c r="DA241" s="134"/>
      <c r="DB241" s="134"/>
      <c r="DC241" s="134"/>
      <c r="DD241" s="134"/>
      <c r="DE241" s="134"/>
      <c r="DF241" s="134"/>
      <c r="DG241" s="134"/>
      <c r="DH241" s="134"/>
      <c r="DI241" s="134"/>
      <c r="DJ241" s="134"/>
      <c r="DK241" s="134"/>
      <c r="DL241" s="134"/>
      <c r="DM241" s="134"/>
      <c r="DN241" s="134"/>
      <c r="DO241" s="134"/>
      <c r="DP241" s="134"/>
      <c r="DQ241" s="134"/>
      <c r="DR241" s="134"/>
      <c r="DS241" s="134"/>
      <c r="DT241" s="134"/>
      <c r="DU241" s="134"/>
      <c r="DV241" s="134"/>
      <c r="DW241" s="134"/>
      <c r="DX241" s="134"/>
      <c r="DY241" s="134"/>
      <c r="DZ241" s="134"/>
      <c r="EA241" s="134"/>
      <c r="EB241" s="134"/>
      <c r="EC241" s="134"/>
      <c r="ED241" s="134"/>
      <c r="EE241" s="134"/>
      <c r="EF241" s="134"/>
      <c r="EG241" s="134"/>
      <c r="EH241" s="134"/>
      <c r="EI241" s="134"/>
      <c r="EJ241" s="134"/>
      <c r="EK241" s="134"/>
      <c r="EL241" s="134"/>
      <c r="EM241" s="134"/>
      <c r="EN241" s="134"/>
      <c r="EO241" s="134"/>
      <c r="EP241" s="134"/>
      <c r="EQ241" s="134"/>
      <c r="ER241" s="134"/>
      <c r="ES241" s="134"/>
      <c r="ET241" s="134"/>
      <c r="EU241" s="134"/>
      <c r="EV241" s="134"/>
      <c r="EW241" s="134"/>
      <c r="EX241" s="134"/>
      <c r="EY241" s="134"/>
      <c r="EZ241" s="134"/>
      <c r="FA241" s="134"/>
      <c r="FB241" s="134"/>
      <c r="FC241" s="134"/>
      <c r="FD241" s="134"/>
      <c r="FE241" s="134"/>
      <c r="FF241" s="134"/>
      <c r="FG241" s="134"/>
      <c r="FH241" s="134"/>
      <c r="FI241" s="134"/>
      <c r="FJ241" s="134"/>
      <c r="FK241" s="134"/>
      <c r="FL241" s="134"/>
      <c r="FM241" s="134"/>
      <c r="FN241" s="134"/>
      <c r="FO241" s="134"/>
      <c r="FP241" s="134"/>
      <c r="FQ241" s="134"/>
      <c r="FR241" s="134"/>
      <c r="FS241" s="134"/>
      <c r="FT241" s="134"/>
      <c r="FU241" s="134"/>
      <c r="FV241" s="134"/>
      <c r="FW241" s="134"/>
      <c r="FX241" s="134"/>
      <c r="FY241" s="134"/>
      <c r="FZ241" s="134"/>
      <c r="GA241" s="134"/>
      <c r="GB241" s="134"/>
      <c r="GC241" s="134"/>
      <c r="GD241" s="134"/>
      <c r="GE241" s="134"/>
      <c r="GF241" s="134"/>
      <c r="GG241" s="134"/>
      <c r="GH241" s="134"/>
      <c r="GI241" s="134"/>
      <c r="GJ241" s="134"/>
      <c r="GK241" s="134"/>
      <c r="GL241" s="134"/>
      <c r="GM241" s="134"/>
      <c r="GN241" s="134"/>
      <c r="GO241" s="134"/>
      <c r="GP241" s="134"/>
      <c r="GQ241" s="134"/>
      <c r="GR241" s="134"/>
      <c r="GS241" s="134"/>
      <c r="GT241" s="134"/>
      <c r="GU241" s="134"/>
      <c r="GV241" s="134"/>
      <c r="GW241" s="134"/>
      <c r="GX241" s="134"/>
      <c r="GY241" s="134"/>
      <c r="GZ241" s="134"/>
      <c r="HA241" s="134"/>
      <c r="HB241" s="134"/>
      <c r="HC241" s="134"/>
      <c r="HD241" s="134"/>
      <c r="HE241" s="134"/>
      <c r="HF241" s="134"/>
      <c r="HG241" s="134"/>
      <c r="HH241" s="134"/>
      <c r="HI241" s="134"/>
      <c r="HJ241" s="134"/>
      <c r="HK241" s="134"/>
      <c r="HL241" s="134"/>
      <c r="HM241" s="134"/>
      <c r="HN241" s="134"/>
      <c r="HO241" s="134"/>
      <c r="HP241" s="134"/>
      <c r="HQ241" s="134"/>
      <c r="HR241" s="134"/>
      <c r="HS241" s="134"/>
      <c r="HT241" s="134"/>
      <c r="HU241" s="134"/>
      <c r="HV241" s="134"/>
      <c r="HW241" s="134"/>
      <c r="HX241" s="134"/>
      <c r="HY241" s="134"/>
      <c r="HZ241" s="134"/>
      <c r="IA241" s="134"/>
      <c r="IB241" s="134"/>
      <c r="IC241" s="134"/>
      <c r="ID241" s="134"/>
      <c r="IE241" s="134"/>
      <c r="IF241" s="134"/>
      <c r="IG241" s="134"/>
      <c r="IH241" s="134"/>
      <c r="II241" s="134"/>
      <c r="IJ241" s="134"/>
      <c r="IK241" s="134"/>
      <c r="IL241" s="134"/>
      <c r="IM241" s="134"/>
      <c r="IN241" s="134"/>
      <c r="IO241" s="134"/>
      <c r="IP241" s="134"/>
      <c r="IQ241" s="134"/>
      <c r="IR241" s="134"/>
      <c r="IS241" s="134"/>
      <c r="IT241" s="134"/>
      <c r="IU241" s="134"/>
    </row>
    <row r="242" spans="1:255" ht="105" x14ac:dyDescent="0.2">
      <c r="A242" s="236" t="str">
        <f>'HECVAT - Full'!A242</f>
        <v>PPPR-19</v>
      </c>
      <c r="B242" s="236" t="str">
        <f>VLOOKUP(A242,'HECVAT - Full'!A$24:B$312,2,FALSE)</f>
        <v>Do you have process and procedure(s) documented, and currently followed, that require a review and update of the access-list(s) for privileged accounts?</v>
      </c>
      <c r="C242" s="237" t="s">
        <v>2742</v>
      </c>
      <c r="D242" s="247" t="s">
        <v>2743</v>
      </c>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4"/>
      <c r="DF242" s="134"/>
      <c r="DG242" s="134"/>
      <c r="DH242" s="134"/>
      <c r="DI242" s="134"/>
      <c r="DJ242" s="134"/>
      <c r="DK242" s="134"/>
      <c r="DL242" s="134"/>
      <c r="DM242" s="134"/>
      <c r="DN242" s="134"/>
      <c r="DO242" s="134"/>
      <c r="DP242" s="134"/>
      <c r="DQ242" s="134"/>
      <c r="DR242" s="134"/>
      <c r="DS242" s="134"/>
      <c r="DT242" s="134"/>
      <c r="DU242" s="134"/>
      <c r="DV242" s="134"/>
      <c r="DW242" s="134"/>
      <c r="DX242" s="134"/>
      <c r="DY242" s="134"/>
      <c r="DZ242" s="134"/>
      <c r="EA242" s="134"/>
      <c r="EB242" s="134"/>
      <c r="EC242" s="134"/>
      <c r="ED242" s="134"/>
      <c r="EE242" s="134"/>
      <c r="EF242" s="134"/>
      <c r="EG242" s="134"/>
      <c r="EH242" s="134"/>
      <c r="EI242" s="134"/>
      <c r="EJ242" s="134"/>
      <c r="EK242" s="134"/>
      <c r="EL242" s="134"/>
      <c r="EM242" s="134"/>
      <c r="EN242" s="134"/>
      <c r="EO242" s="134"/>
      <c r="EP242" s="134"/>
      <c r="EQ242" s="134"/>
      <c r="ER242" s="134"/>
      <c r="ES242" s="134"/>
      <c r="ET242" s="134"/>
      <c r="EU242" s="134"/>
      <c r="EV242" s="134"/>
      <c r="EW242" s="134"/>
      <c r="EX242" s="134"/>
      <c r="EY242" s="134"/>
      <c r="EZ242" s="134"/>
      <c r="FA242" s="134"/>
      <c r="FB242" s="134"/>
      <c r="FC242" s="134"/>
      <c r="FD242" s="134"/>
      <c r="FE242" s="134"/>
      <c r="FF242" s="134"/>
      <c r="FG242" s="134"/>
      <c r="FH242" s="134"/>
      <c r="FI242" s="134"/>
      <c r="FJ242" s="134"/>
      <c r="FK242" s="134"/>
      <c r="FL242" s="134"/>
      <c r="FM242" s="134"/>
      <c r="FN242" s="134"/>
      <c r="FO242" s="134"/>
      <c r="FP242" s="134"/>
      <c r="FQ242" s="134"/>
      <c r="FR242" s="134"/>
      <c r="FS242" s="134"/>
      <c r="FT242" s="134"/>
      <c r="FU242" s="134"/>
      <c r="FV242" s="134"/>
      <c r="FW242" s="134"/>
      <c r="FX242" s="134"/>
      <c r="FY242" s="134"/>
      <c r="FZ242" s="134"/>
      <c r="GA242" s="134"/>
      <c r="GB242" s="134"/>
      <c r="GC242" s="134"/>
      <c r="GD242" s="134"/>
      <c r="GE242" s="134"/>
      <c r="GF242" s="134"/>
      <c r="GG242" s="134"/>
      <c r="GH242" s="134"/>
      <c r="GI242" s="134"/>
      <c r="GJ242" s="134"/>
      <c r="GK242" s="134"/>
      <c r="GL242" s="134"/>
      <c r="GM242" s="134"/>
      <c r="GN242" s="134"/>
      <c r="GO242" s="134"/>
      <c r="GP242" s="134"/>
      <c r="GQ242" s="134"/>
      <c r="GR242" s="134"/>
      <c r="GS242" s="134"/>
      <c r="GT242" s="134"/>
      <c r="GU242" s="134"/>
      <c r="GV242" s="134"/>
      <c r="GW242" s="134"/>
      <c r="GX242" s="134"/>
      <c r="GY242" s="134"/>
      <c r="GZ242" s="134"/>
      <c r="HA242" s="134"/>
      <c r="HB242" s="134"/>
      <c r="HC242" s="134"/>
      <c r="HD242" s="134"/>
      <c r="HE242" s="134"/>
      <c r="HF242" s="134"/>
      <c r="HG242" s="134"/>
      <c r="HH242" s="134"/>
      <c r="HI242" s="134"/>
      <c r="HJ242" s="134"/>
      <c r="HK242" s="134"/>
      <c r="HL242" s="134"/>
      <c r="HM242" s="134"/>
      <c r="HN242" s="134"/>
      <c r="HO242" s="134"/>
      <c r="HP242" s="134"/>
      <c r="HQ242" s="134"/>
      <c r="HR242" s="134"/>
      <c r="HS242" s="134"/>
      <c r="HT242" s="134"/>
      <c r="HU242" s="134"/>
      <c r="HV242" s="134"/>
      <c r="HW242" s="134"/>
      <c r="HX242" s="134"/>
      <c r="HY242" s="134"/>
      <c r="HZ242" s="134"/>
      <c r="IA242" s="134"/>
      <c r="IB242" s="134"/>
      <c r="IC242" s="134"/>
      <c r="ID242" s="134"/>
      <c r="IE242" s="134"/>
      <c r="IF242" s="134"/>
      <c r="IG242" s="134"/>
      <c r="IH242" s="134"/>
      <c r="II242" s="134"/>
      <c r="IJ242" s="134"/>
      <c r="IK242" s="134"/>
      <c r="IL242" s="134"/>
      <c r="IM242" s="134"/>
      <c r="IN242" s="134"/>
      <c r="IO242" s="134"/>
      <c r="IP242" s="134"/>
      <c r="IQ242" s="134"/>
      <c r="IR242" s="134"/>
      <c r="IS242" s="134"/>
      <c r="IT242" s="134"/>
      <c r="IU242" s="134"/>
    </row>
    <row r="243" spans="1:255" ht="64.25" customHeight="1" x14ac:dyDescent="0.2">
      <c r="A243" s="236" t="str">
        <f>'HECVAT - Full'!A243</f>
        <v>PPPR-20</v>
      </c>
      <c r="B243" s="236" t="str">
        <f>VLOOKUP(A243,'HECVAT - Full'!A$24:B$312,2,FALSE)</f>
        <v>Do you have documented, and currently implemented, internal audit processes and procedures?</v>
      </c>
      <c r="C243" s="237" t="s">
        <v>2943</v>
      </c>
      <c r="D243" s="247" t="s">
        <v>2944</v>
      </c>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34"/>
      <c r="BQ243" s="134"/>
      <c r="BR243" s="134"/>
      <c r="BS243" s="134"/>
      <c r="BT243" s="134"/>
      <c r="BU243" s="134"/>
      <c r="BV243" s="134"/>
      <c r="BW243" s="134"/>
      <c r="BX243" s="134"/>
      <c r="BY243" s="134"/>
      <c r="BZ243" s="134"/>
      <c r="CA243" s="134"/>
      <c r="CB243" s="134"/>
      <c r="CC243" s="134"/>
      <c r="CD243" s="134"/>
      <c r="CE243" s="134"/>
      <c r="CF243" s="134"/>
      <c r="CG243" s="134"/>
      <c r="CH243" s="134"/>
      <c r="CI243" s="134"/>
      <c r="CJ243" s="134"/>
      <c r="CK243" s="134"/>
      <c r="CL243" s="134"/>
      <c r="CM243" s="134"/>
      <c r="CN243" s="134"/>
      <c r="CO243" s="134"/>
      <c r="CP243" s="134"/>
      <c r="CQ243" s="134"/>
      <c r="CR243" s="134"/>
      <c r="CS243" s="134"/>
      <c r="CT243" s="134"/>
      <c r="CU243" s="134"/>
      <c r="CV243" s="134"/>
      <c r="CW243" s="134"/>
      <c r="CX243" s="134"/>
      <c r="CY243" s="134"/>
      <c r="CZ243" s="134"/>
      <c r="DA243" s="134"/>
      <c r="DB243" s="134"/>
      <c r="DC243" s="134"/>
      <c r="DD243" s="134"/>
      <c r="DE243" s="134"/>
      <c r="DF243" s="134"/>
      <c r="DG243" s="134"/>
      <c r="DH243" s="134"/>
      <c r="DI243" s="134"/>
      <c r="DJ243" s="134"/>
      <c r="DK243" s="134"/>
      <c r="DL243" s="134"/>
      <c r="DM243" s="134"/>
      <c r="DN243" s="134"/>
      <c r="DO243" s="134"/>
      <c r="DP243" s="134"/>
      <c r="DQ243" s="134"/>
      <c r="DR243" s="134"/>
      <c r="DS243" s="134"/>
      <c r="DT243" s="134"/>
      <c r="DU243" s="134"/>
      <c r="DV243" s="134"/>
      <c r="DW243" s="134"/>
      <c r="DX243" s="134"/>
      <c r="DY243" s="134"/>
      <c r="DZ243" s="134"/>
      <c r="EA243" s="134"/>
      <c r="EB243" s="134"/>
      <c r="EC243" s="134"/>
      <c r="ED243" s="134"/>
      <c r="EE243" s="134"/>
      <c r="EF243" s="134"/>
      <c r="EG243" s="134"/>
      <c r="EH243" s="134"/>
      <c r="EI243" s="134"/>
      <c r="EJ243" s="134"/>
      <c r="EK243" s="134"/>
      <c r="EL243" s="134"/>
      <c r="EM243" s="134"/>
      <c r="EN243" s="134"/>
      <c r="EO243" s="134"/>
      <c r="EP243" s="134"/>
      <c r="EQ243" s="134"/>
      <c r="ER243" s="134"/>
      <c r="ES243" s="134"/>
      <c r="ET243" s="134"/>
      <c r="EU243" s="134"/>
      <c r="EV243" s="134"/>
      <c r="EW243" s="134"/>
      <c r="EX243" s="134"/>
      <c r="EY243" s="134"/>
      <c r="EZ243" s="134"/>
      <c r="FA243" s="134"/>
      <c r="FB243" s="134"/>
      <c r="FC243" s="134"/>
      <c r="FD243" s="134"/>
      <c r="FE243" s="134"/>
      <c r="FF243" s="134"/>
      <c r="FG243" s="134"/>
      <c r="FH243" s="134"/>
      <c r="FI243" s="134"/>
      <c r="FJ243" s="134"/>
      <c r="FK243" s="134"/>
      <c r="FL243" s="134"/>
      <c r="FM243" s="134"/>
      <c r="FN243" s="134"/>
      <c r="FO243" s="134"/>
      <c r="FP243" s="134"/>
      <c r="FQ243" s="134"/>
      <c r="FR243" s="134"/>
      <c r="FS243" s="134"/>
      <c r="FT243" s="134"/>
      <c r="FU243" s="134"/>
      <c r="FV243" s="134"/>
      <c r="FW243" s="134"/>
      <c r="FX243" s="134"/>
      <c r="FY243" s="134"/>
      <c r="FZ243" s="134"/>
      <c r="GA243" s="134"/>
      <c r="GB243" s="134"/>
      <c r="GC243" s="134"/>
      <c r="GD243" s="134"/>
      <c r="GE243" s="134"/>
      <c r="GF243" s="134"/>
      <c r="GG243" s="134"/>
      <c r="GH243" s="134"/>
      <c r="GI243" s="134"/>
      <c r="GJ243" s="134"/>
      <c r="GK243" s="134"/>
      <c r="GL243" s="134"/>
      <c r="GM243" s="134"/>
      <c r="GN243" s="134"/>
      <c r="GO243" s="134"/>
      <c r="GP243" s="134"/>
      <c r="GQ243" s="134"/>
      <c r="GR243" s="134"/>
      <c r="GS243" s="134"/>
      <c r="GT243" s="134"/>
      <c r="GU243" s="134"/>
      <c r="GV243" s="134"/>
      <c r="GW243" s="134"/>
      <c r="GX243" s="134"/>
      <c r="GY243" s="134"/>
      <c r="GZ243" s="134"/>
      <c r="HA243" s="134"/>
      <c r="HB243" s="134"/>
      <c r="HC243" s="134"/>
      <c r="HD243" s="134"/>
      <c r="HE243" s="134"/>
      <c r="HF243" s="134"/>
      <c r="HG243" s="134"/>
      <c r="HH243" s="134"/>
      <c r="HI243" s="134"/>
      <c r="HJ243" s="134"/>
      <c r="HK243" s="134"/>
      <c r="HL243" s="134"/>
      <c r="HM243" s="134"/>
      <c r="HN243" s="134"/>
      <c r="HO243" s="134"/>
      <c r="HP243" s="134"/>
      <c r="HQ243" s="134"/>
      <c r="HR243" s="134"/>
      <c r="HS243" s="134"/>
      <c r="HT243" s="134"/>
      <c r="HU243" s="134"/>
      <c r="HV243" s="134"/>
      <c r="HW243" s="134"/>
      <c r="HX243" s="134"/>
      <c r="HY243" s="134"/>
      <c r="HZ243" s="134"/>
      <c r="IA243" s="134"/>
      <c r="IB243" s="134"/>
      <c r="IC243" s="134"/>
      <c r="ID243" s="134"/>
      <c r="IE243" s="134"/>
      <c r="IF243" s="134"/>
      <c r="IG243" s="134"/>
      <c r="IH243" s="134"/>
      <c r="II243" s="134"/>
      <c r="IJ243" s="134"/>
      <c r="IK243" s="134"/>
      <c r="IL243" s="134"/>
      <c r="IM243" s="134"/>
      <c r="IN243" s="134"/>
      <c r="IO243" s="134"/>
      <c r="IP243" s="134"/>
      <c r="IQ243" s="134"/>
      <c r="IR243" s="134"/>
      <c r="IS243" s="134"/>
      <c r="IT243" s="134"/>
      <c r="IU243" s="134"/>
    </row>
    <row r="244" spans="1:255" ht="36" customHeight="1" x14ac:dyDescent="0.2">
      <c r="A244" s="341" t="str">
        <f>IF($C$30="","Product Evaluation",IF($C$30="Yes","Product Evaluation - Optional based on QUALIFIER response.","Product Evaluation"))</f>
        <v>Product Evaluation</v>
      </c>
      <c r="B244" s="341"/>
      <c r="C244" s="234" t="str">
        <f>$C$22</f>
        <v>Reason for Question</v>
      </c>
      <c r="D244" s="234" t="str">
        <f>$D$22</f>
        <v>Follow-up Inquiries/Responses</v>
      </c>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34"/>
      <c r="BQ244" s="134"/>
      <c r="BR244" s="134"/>
      <c r="BS244" s="134"/>
      <c r="BT244" s="134"/>
      <c r="BU244" s="134"/>
      <c r="BV244" s="134"/>
      <c r="BW244" s="134"/>
      <c r="BX244" s="134"/>
      <c r="BY244" s="134"/>
      <c r="BZ244" s="134"/>
      <c r="CA244" s="134"/>
      <c r="CB244" s="134"/>
      <c r="CC244" s="134"/>
      <c r="CD244" s="134"/>
      <c r="CE244" s="134"/>
      <c r="CF244" s="134"/>
      <c r="CG244" s="134"/>
      <c r="CH244" s="134"/>
      <c r="CI244" s="134"/>
      <c r="CJ244" s="134"/>
      <c r="CK244" s="134"/>
      <c r="CL244" s="134"/>
      <c r="CM244" s="134"/>
      <c r="CN244" s="134"/>
      <c r="CO244" s="134"/>
      <c r="CP244" s="134"/>
      <c r="CQ244" s="134"/>
      <c r="CR244" s="134"/>
      <c r="CS244" s="134"/>
      <c r="CT244" s="134"/>
      <c r="CU244" s="134"/>
      <c r="CV244" s="134"/>
      <c r="CW244" s="134"/>
      <c r="CX244" s="134"/>
      <c r="CY244" s="134"/>
      <c r="CZ244" s="134"/>
      <c r="DA244" s="134"/>
      <c r="DB244" s="134"/>
      <c r="DC244" s="134"/>
      <c r="DD244" s="134"/>
      <c r="DE244" s="134"/>
      <c r="DF244" s="134"/>
      <c r="DG244" s="134"/>
      <c r="DH244" s="134"/>
      <c r="DI244" s="134"/>
      <c r="DJ244" s="134"/>
      <c r="DK244" s="134"/>
      <c r="DL244" s="134"/>
      <c r="DM244" s="134"/>
      <c r="DN244" s="134"/>
      <c r="DO244" s="134"/>
      <c r="DP244" s="134"/>
      <c r="DQ244" s="134"/>
      <c r="DR244" s="134"/>
      <c r="DS244" s="134"/>
      <c r="DT244" s="134"/>
      <c r="DU244" s="134"/>
      <c r="DV244" s="134"/>
      <c r="DW244" s="134"/>
      <c r="DX244" s="134"/>
      <c r="DY244" s="134"/>
      <c r="DZ244" s="134"/>
      <c r="EA244" s="134"/>
      <c r="EB244" s="134"/>
      <c r="EC244" s="134"/>
      <c r="ED244" s="134"/>
      <c r="EE244" s="134"/>
      <c r="EF244" s="134"/>
      <c r="EG244" s="134"/>
      <c r="EH244" s="134"/>
      <c r="EI244" s="134"/>
      <c r="EJ244" s="134"/>
      <c r="EK244" s="134"/>
      <c r="EL244" s="134"/>
      <c r="EM244" s="134"/>
      <c r="EN244" s="134"/>
      <c r="EO244" s="134"/>
      <c r="EP244" s="134"/>
      <c r="EQ244" s="134"/>
      <c r="ER244" s="134"/>
      <c r="ES244" s="134"/>
      <c r="ET244" s="134"/>
      <c r="EU244" s="134"/>
      <c r="EV244" s="134"/>
      <c r="EW244" s="134"/>
      <c r="EX244" s="134"/>
      <c r="EY244" s="134"/>
      <c r="EZ244" s="134"/>
      <c r="FA244" s="134"/>
      <c r="FB244" s="134"/>
      <c r="FC244" s="134"/>
      <c r="FD244" s="134"/>
      <c r="FE244" s="134"/>
      <c r="FF244" s="134"/>
      <c r="FG244" s="134"/>
      <c r="FH244" s="134"/>
      <c r="FI244" s="134"/>
      <c r="FJ244" s="134"/>
      <c r="FK244" s="134"/>
      <c r="FL244" s="134"/>
      <c r="FM244" s="134"/>
      <c r="FN244" s="134"/>
      <c r="FO244" s="134"/>
      <c r="FP244" s="134"/>
      <c r="FQ244" s="134"/>
      <c r="FR244" s="134"/>
      <c r="FS244" s="134"/>
      <c r="FT244" s="134"/>
      <c r="FU244" s="134"/>
      <c r="FV244" s="134"/>
      <c r="FW244" s="134"/>
      <c r="FX244" s="134"/>
      <c r="FY244" s="134"/>
      <c r="FZ244" s="134"/>
      <c r="GA244" s="134"/>
      <c r="GB244" s="134"/>
      <c r="GC244" s="134"/>
      <c r="GD244" s="134"/>
      <c r="GE244" s="134"/>
      <c r="GF244" s="134"/>
      <c r="GG244" s="134"/>
      <c r="GH244" s="134"/>
      <c r="GI244" s="134"/>
      <c r="GJ244" s="134"/>
      <c r="GK244" s="134"/>
      <c r="GL244" s="134"/>
      <c r="GM244" s="134"/>
      <c r="GN244" s="134"/>
      <c r="GO244" s="134"/>
      <c r="GP244" s="134"/>
      <c r="GQ244" s="134"/>
      <c r="GR244" s="134"/>
      <c r="GS244" s="134"/>
      <c r="GT244" s="134"/>
      <c r="GU244" s="134"/>
      <c r="GV244" s="134"/>
      <c r="GW244" s="134"/>
      <c r="GX244" s="134"/>
      <c r="GY244" s="134"/>
      <c r="GZ244" s="134"/>
      <c r="HA244" s="134"/>
      <c r="HB244" s="134"/>
      <c r="HC244" s="134"/>
      <c r="HD244" s="134"/>
      <c r="HE244" s="134"/>
      <c r="HF244" s="134"/>
      <c r="HG244" s="134"/>
      <c r="HH244" s="134"/>
      <c r="HI244" s="134"/>
      <c r="HJ244" s="134"/>
      <c r="HK244" s="134"/>
      <c r="HL244" s="134"/>
      <c r="HM244" s="134"/>
      <c r="HN244" s="134"/>
      <c r="HO244" s="134"/>
      <c r="HP244" s="134"/>
      <c r="HQ244" s="134"/>
      <c r="HR244" s="134"/>
      <c r="HS244" s="134"/>
      <c r="HT244" s="134"/>
      <c r="HU244" s="134"/>
      <c r="HV244" s="134"/>
      <c r="HW244" s="134"/>
      <c r="HX244" s="134"/>
      <c r="HY244" s="134"/>
      <c r="HZ244" s="134"/>
      <c r="IA244" s="134"/>
      <c r="IB244" s="134"/>
      <c r="IC244" s="134"/>
      <c r="ID244" s="134"/>
      <c r="IE244" s="134"/>
      <c r="IF244" s="134"/>
      <c r="IG244" s="134"/>
      <c r="IH244" s="134"/>
      <c r="II244" s="134"/>
      <c r="IJ244" s="134"/>
      <c r="IK244" s="134"/>
      <c r="IL244" s="134"/>
      <c r="IM244" s="134"/>
      <c r="IN244" s="134"/>
      <c r="IO244" s="134"/>
      <c r="IP244" s="134"/>
      <c r="IQ244" s="134"/>
      <c r="IR244" s="134"/>
      <c r="IS244" s="134"/>
      <c r="IT244" s="134"/>
      <c r="IU244" s="134"/>
    </row>
    <row r="245" spans="1:255" ht="102" customHeight="1" x14ac:dyDescent="0.2">
      <c r="A245" s="236" t="str">
        <f>'HECVAT - Full'!A245</f>
        <v>PROD-01</v>
      </c>
      <c r="B245" s="236" t="str">
        <f>VLOOKUP(A245,'HECVAT - Full'!A$24:B$312,2,FALSE)</f>
        <v>Do you incorporate customer feedback into security feature requests?</v>
      </c>
      <c r="C245" s="237" t="s">
        <v>2945</v>
      </c>
      <c r="D245" s="247" t="s">
        <v>2946</v>
      </c>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c r="CZ245" s="134"/>
      <c r="DA245" s="134"/>
      <c r="DB245" s="134"/>
      <c r="DC245" s="134"/>
      <c r="DD245" s="134"/>
      <c r="DE245" s="134"/>
      <c r="DF245" s="134"/>
      <c r="DG245" s="134"/>
      <c r="DH245" s="134"/>
      <c r="DI245" s="134"/>
      <c r="DJ245" s="134"/>
      <c r="DK245" s="134"/>
      <c r="DL245" s="134"/>
      <c r="DM245" s="134"/>
      <c r="DN245" s="134"/>
      <c r="DO245" s="134"/>
      <c r="DP245" s="134"/>
      <c r="DQ245" s="134"/>
      <c r="DR245" s="134"/>
      <c r="DS245" s="134"/>
      <c r="DT245" s="134"/>
      <c r="DU245" s="134"/>
      <c r="DV245" s="134"/>
      <c r="DW245" s="134"/>
      <c r="DX245" s="134"/>
      <c r="DY245" s="134"/>
      <c r="DZ245" s="134"/>
      <c r="EA245" s="134"/>
      <c r="EB245" s="134"/>
      <c r="EC245" s="134"/>
      <c r="ED245" s="134"/>
      <c r="EE245" s="134"/>
      <c r="EF245" s="134"/>
      <c r="EG245" s="134"/>
      <c r="EH245" s="134"/>
      <c r="EI245" s="134"/>
      <c r="EJ245" s="134"/>
      <c r="EK245" s="134"/>
      <c r="EL245" s="134"/>
      <c r="EM245" s="134"/>
      <c r="EN245" s="134"/>
      <c r="EO245" s="134"/>
      <c r="EP245" s="134"/>
      <c r="EQ245" s="134"/>
      <c r="ER245" s="134"/>
      <c r="ES245" s="134"/>
      <c r="ET245" s="134"/>
      <c r="EU245" s="134"/>
      <c r="EV245" s="134"/>
      <c r="EW245" s="134"/>
      <c r="EX245" s="134"/>
      <c r="EY245" s="134"/>
      <c r="EZ245" s="134"/>
      <c r="FA245" s="134"/>
      <c r="FB245" s="134"/>
      <c r="FC245" s="134"/>
      <c r="FD245" s="134"/>
      <c r="FE245" s="134"/>
      <c r="FF245" s="134"/>
      <c r="FG245" s="134"/>
      <c r="FH245" s="134"/>
      <c r="FI245" s="134"/>
      <c r="FJ245" s="134"/>
      <c r="FK245" s="134"/>
      <c r="FL245" s="134"/>
      <c r="FM245" s="134"/>
      <c r="FN245" s="134"/>
      <c r="FO245" s="134"/>
      <c r="FP245" s="134"/>
      <c r="FQ245" s="134"/>
      <c r="FR245" s="134"/>
      <c r="FS245" s="134"/>
      <c r="FT245" s="134"/>
      <c r="FU245" s="134"/>
      <c r="FV245" s="134"/>
      <c r="FW245" s="134"/>
      <c r="FX245" s="134"/>
      <c r="FY245" s="134"/>
      <c r="FZ245" s="134"/>
      <c r="GA245" s="134"/>
      <c r="GB245" s="134"/>
      <c r="GC245" s="134"/>
      <c r="GD245" s="134"/>
      <c r="GE245" s="134"/>
      <c r="GF245" s="134"/>
      <c r="GG245" s="134"/>
      <c r="GH245" s="134"/>
      <c r="GI245" s="134"/>
      <c r="GJ245" s="134"/>
      <c r="GK245" s="134"/>
      <c r="GL245" s="134"/>
      <c r="GM245" s="134"/>
      <c r="GN245" s="134"/>
      <c r="GO245" s="134"/>
      <c r="GP245" s="134"/>
      <c r="GQ245" s="134"/>
      <c r="GR245" s="134"/>
      <c r="GS245" s="134"/>
      <c r="GT245" s="134"/>
      <c r="GU245" s="134"/>
      <c r="GV245" s="134"/>
      <c r="GW245" s="134"/>
      <c r="GX245" s="134"/>
      <c r="GY245" s="134"/>
      <c r="GZ245" s="134"/>
      <c r="HA245" s="134"/>
      <c r="HB245" s="134"/>
      <c r="HC245" s="134"/>
      <c r="HD245" s="134"/>
      <c r="HE245" s="134"/>
      <c r="HF245" s="134"/>
      <c r="HG245" s="134"/>
      <c r="HH245" s="134"/>
      <c r="HI245" s="134"/>
      <c r="HJ245" s="134"/>
      <c r="HK245" s="134"/>
      <c r="HL245" s="134"/>
      <c r="HM245" s="134"/>
      <c r="HN245" s="134"/>
      <c r="HO245" s="134"/>
      <c r="HP245" s="134"/>
      <c r="HQ245" s="134"/>
      <c r="HR245" s="134"/>
      <c r="HS245" s="134"/>
      <c r="HT245" s="134"/>
      <c r="HU245" s="134"/>
      <c r="HV245" s="134"/>
      <c r="HW245" s="134"/>
      <c r="HX245" s="134"/>
      <c r="HY245" s="134"/>
      <c r="HZ245" s="134"/>
      <c r="IA245" s="134"/>
      <c r="IB245" s="134"/>
      <c r="IC245" s="134"/>
      <c r="ID245" s="134"/>
      <c r="IE245" s="134"/>
      <c r="IF245" s="134"/>
      <c r="IG245" s="134"/>
      <c r="IH245" s="134"/>
      <c r="II245" s="134"/>
      <c r="IJ245" s="134"/>
      <c r="IK245" s="134"/>
      <c r="IL245" s="134"/>
      <c r="IM245" s="134"/>
      <c r="IN245" s="134"/>
      <c r="IO245" s="134"/>
      <c r="IP245" s="134"/>
      <c r="IQ245" s="134"/>
      <c r="IR245" s="134"/>
      <c r="IS245" s="134"/>
      <c r="IT245" s="134"/>
      <c r="IU245" s="134"/>
    </row>
    <row r="246" spans="1:255" ht="64.5" customHeight="1" x14ac:dyDescent="0.2">
      <c r="A246" s="236" t="str">
        <f>'HECVAT - Full'!A246</f>
        <v>PROD-02</v>
      </c>
      <c r="B246" s="236" t="str">
        <f>VLOOKUP(A246,'HECVAT - Full'!A$24:B$312,2,FALSE)</f>
        <v>Can you provide an evaluation site to the institution for testing?</v>
      </c>
      <c r="C246" s="237" t="s">
        <v>2947</v>
      </c>
      <c r="D246" s="247" t="s">
        <v>2948</v>
      </c>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c r="CZ246" s="134"/>
      <c r="DA246" s="134"/>
      <c r="DB246" s="134"/>
      <c r="DC246" s="134"/>
      <c r="DD246" s="134"/>
      <c r="DE246" s="134"/>
      <c r="DF246" s="134"/>
      <c r="DG246" s="134"/>
      <c r="DH246" s="134"/>
      <c r="DI246" s="134"/>
      <c r="DJ246" s="134"/>
      <c r="DK246" s="134"/>
      <c r="DL246" s="134"/>
      <c r="DM246" s="134"/>
      <c r="DN246" s="134"/>
      <c r="DO246" s="134"/>
      <c r="DP246" s="134"/>
      <c r="DQ246" s="134"/>
      <c r="DR246" s="134"/>
      <c r="DS246" s="134"/>
      <c r="DT246" s="134"/>
      <c r="DU246" s="134"/>
      <c r="DV246" s="134"/>
      <c r="DW246" s="134"/>
      <c r="DX246" s="134"/>
      <c r="DY246" s="134"/>
      <c r="DZ246" s="134"/>
      <c r="EA246" s="134"/>
      <c r="EB246" s="134"/>
      <c r="EC246" s="134"/>
      <c r="ED246" s="134"/>
      <c r="EE246" s="134"/>
      <c r="EF246" s="134"/>
      <c r="EG246" s="134"/>
      <c r="EH246" s="134"/>
      <c r="EI246" s="134"/>
      <c r="EJ246" s="134"/>
      <c r="EK246" s="134"/>
      <c r="EL246" s="134"/>
      <c r="EM246" s="134"/>
      <c r="EN246" s="134"/>
      <c r="EO246" s="134"/>
      <c r="EP246" s="134"/>
      <c r="EQ246" s="134"/>
      <c r="ER246" s="134"/>
      <c r="ES246" s="134"/>
      <c r="ET246" s="134"/>
      <c r="EU246" s="134"/>
      <c r="EV246" s="134"/>
      <c r="EW246" s="134"/>
      <c r="EX246" s="134"/>
      <c r="EY246" s="134"/>
      <c r="EZ246" s="134"/>
      <c r="FA246" s="134"/>
      <c r="FB246" s="134"/>
      <c r="FC246" s="134"/>
      <c r="FD246" s="134"/>
      <c r="FE246" s="134"/>
      <c r="FF246" s="134"/>
      <c r="FG246" s="134"/>
      <c r="FH246" s="134"/>
      <c r="FI246" s="134"/>
      <c r="FJ246" s="134"/>
      <c r="FK246" s="134"/>
      <c r="FL246" s="134"/>
      <c r="FM246" s="134"/>
      <c r="FN246" s="134"/>
      <c r="FO246" s="134"/>
      <c r="FP246" s="134"/>
      <c r="FQ246" s="134"/>
      <c r="FR246" s="134"/>
      <c r="FS246" s="134"/>
      <c r="FT246" s="134"/>
      <c r="FU246" s="134"/>
      <c r="FV246" s="134"/>
      <c r="FW246" s="134"/>
      <c r="FX246" s="134"/>
      <c r="FY246" s="134"/>
      <c r="FZ246" s="134"/>
      <c r="GA246" s="134"/>
      <c r="GB246" s="134"/>
      <c r="GC246" s="134"/>
      <c r="GD246" s="134"/>
      <c r="GE246" s="134"/>
      <c r="GF246" s="134"/>
      <c r="GG246" s="134"/>
      <c r="GH246" s="134"/>
      <c r="GI246" s="134"/>
      <c r="GJ246" s="134"/>
      <c r="GK246" s="134"/>
      <c r="GL246" s="134"/>
      <c r="GM246" s="134"/>
      <c r="GN246" s="134"/>
      <c r="GO246" s="134"/>
      <c r="GP246" s="134"/>
      <c r="GQ246" s="134"/>
      <c r="GR246" s="134"/>
      <c r="GS246" s="134"/>
      <c r="GT246" s="134"/>
      <c r="GU246" s="134"/>
      <c r="GV246" s="134"/>
      <c r="GW246" s="134"/>
      <c r="GX246" s="134"/>
      <c r="GY246" s="134"/>
      <c r="GZ246" s="134"/>
      <c r="HA246" s="134"/>
      <c r="HB246" s="134"/>
      <c r="HC246" s="134"/>
      <c r="HD246" s="134"/>
      <c r="HE246" s="134"/>
      <c r="HF246" s="134"/>
      <c r="HG246" s="134"/>
      <c r="HH246" s="134"/>
      <c r="HI246" s="134"/>
      <c r="HJ246" s="134"/>
      <c r="HK246" s="134"/>
      <c r="HL246" s="134"/>
      <c r="HM246" s="134"/>
      <c r="HN246" s="134"/>
      <c r="HO246" s="134"/>
      <c r="HP246" s="134"/>
      <c r="HQ246" s="134"/>
      <c r="HR246" s="134"/>
      <c r="HS246" s="134"/>
      <c r="HT246" s="134"/>
      <c r="HU246" s="134"/>
      <c r="HV246" s="134"/>
      <c r="HW246" s="134"/>
      <c r="HX246" s="134"/>
      <c r="HY246" s="134"/>
      <c r="HZ246" s="134"/>
      <c r="IA246" s="134"/>
      <c r="IB246" s="134"/>
      <c r="IC246" s="134"/>
      <c r="ID246" s="134"/>
      <c r="IE246" s="134"/>
      <c r="IF246" s="134"/>
      <c r="IG246" s="134"/>
      <c r="IH246" s="134"/>
      <c r="II246" s="134"/>
      <c r="IJ246" s="134"/>
      <c r="IK246" s="134"/>
      <c r="IL246" s="134"/>
      <c r="IM246" s="134"/>
      <c r="IN246" s="134"/>
      <c r="IO246" s="134"/>
      <c r="IP246" s="134"/>
      <c r="IQ246" s="134"/>
      <c r="IR246" s="134"/>
      <c r="IS246" s="134"/>
      <c r="IT246" s="134"/>
      <c r="IU246" s="134"/>
    </row>
    <row r="247" spans="1:255" ht="36" customHeight="1" x14ac:dyDescent="0.2">
      <c r="A247" s="341" t="str">
        <f>IF($C$30="","Quality Assurance",IF($C$30="Yes","Quality Assurance - Optional based on QUALIFIER response.","Quality Assurance"))</f>
        <v>Quality Assurance</v>
      </c>
      <c r="B247" s="341"/>
      <c r="C247" s="234" t="str">
        <f>$C$22</f>
        <v>Reason for Question</v>
      </c>
      <c r="D247" s="234" t="str">
        <f>$D$22</f>
        <v>Follow-up Inquiries/Responses</v>
      </c>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4"/>
      <c r="FS247" s="134"/>
      <c r="FT247" s="134"/>
      <c r="FU247" s="134"/>
      <c r="FV247" s="134"/>
      <c r="FW247" s="134"/>
      <c r="FX247" s="134"/>
      <c r="FY247" s="134"/>
      <c r="FZ247" s="134"/>
      <c r="GA247" s="134"/>
      <c r="GB247" s="134"/>
      <c r="GC247" s="134"/>
      <c r="GD247" s="134"/>
      <c r="GE247" s="134"/>
      <c r="GF247" s="134"/>
      <c r="GG247" s="134"/>
      <c r="GH247" s="134"/>
      <c r="GI247" s="134"/>
      <c r="GJ247" s="134"/>
      <c r="GK247" s="134"/>
      <c r="GL247" s="134"/>
      <c r="GM247" s="134"/>
      <c r="GN247" s="134"/>
      <c r="GO247" s="134"/>
      <c r="GP247" s="134"/>
      <c r="GQ247" s="134"/>
      <c r="GR247" s="134"/>
      <c r="GS247" s="134"/>
      <c r="GT247" s="134"/>
      <c r="GU247" s="134"/>
      <c r="GV247" s="134"/>
      <c r="GW247" s="134"/>
      <c r="GX247" s="134"/>
      <c r="GY247" s="134"/>
      <c r="GZ247" s="134"/>
      <c r="HA247" s="134"/>
      <c r="HB247" s="134"/>
      <c r="HC247" s="134"/>
      <c r="HD247" s="134"/>
      <c r="HE247" s="134"/>
      <c r="HF247" s="134"/>
      <c r="HG247" s="134"/>
      <c r="HH247" s="134"/>
      <c r="HI247" s="134"/>
      <c r="HJ247" s="134"/>
      <c r="HK247" s="134"/>
      <c r="HL247" s="134"/>
      <c r="HM247" s="134"/>
      <c r="HN247" s="134"/>
      <c r="HO247" s="134"/>
      <c r="HP247" s="134"/>
      <c r="HQ247" s="134"/>
      <c r="HR247" s="134"/>
      <c r="HS247" s="134"/>
      <c r="HT247" s="134"/>
      <c r="HU247" s="134"/>
      <c r="HV247" s="134"/>
      <c r="HW247" s="134"/>
      <c r="HX247" s="134"/>
      <c r="HY247" s="134"/>
      <c r="HZ247" s="134"/>
      <c r="IA247" s="134"/>
      <c r="IB247" s="134"/>
      <c r="IC247" s="134"/>
      <c r="ID247" s="134"/>
      <c r="IE247" s="134"/>
      <c r="IF247" s="134"/>
      <c r="IG247" s="134"/>
      <c r="IH247" s="134"/>
      <c r="II247" s="134"/>
      <c r="IJ247" s="134"/>
      <c r="IK247" s="134"/>
      <c r="IL247" s="134"/>
      <c r="IM247" s="134"/>
      <c r="IN247" s="134"/>
      <c r="IO247" s="134"/>
      <c r="IP247" s="134"/>
      <c r="IQ247" s="134"/>
      <c r="IR247" s="134"/>
      <c r="IS247" s="134"/>
      <c r="IT247" s="134"/>
      <c r="IU247" s="134"/>
    </row>
    <row r="248" spans="1:255" ht="72" customHeight="1" x14ac:dyDescent="0.2">
      <c r="A248" s="236" t="str">
        <f>'HECVAT - Full'!A248</f>
        <v>QLAS-01</v>
      </c>
      <c r="B248" s="236" t="str">
        <f>VLOOKUP(A248,'HECVAT - Full'!A$24:B$312,2,FALSE)</f>
        <v>Provide a general summary of your Quality Assurance program.</v>
      </c>
      <c r="C248" s="265" t="s">
        <v>3040</v>
      </c>
      <c r="D248" s="237" t="s">
        <v>2949</v>
      </c>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c r="CZ248" s="134"/>
      <c r="DA248" s="134"/>
      <c r="DB248" s="134"/>
      <c r="DC248" s="134"/>
      <c r="DD248" s="134"/>
      <c r="DE248" s="134"/>
      <c r="DF248" s="134"/>
      <c r="DG248" s="134"/>
      <c r="DH248" s="134"/>
      <c r="DI248" s="134"/>
      <c r="DJ248" s="134"/>
      <c r="DK248" s="134"/>
      <c r="DL248" s="134"/>
      <c r="DM248" s="134"/>
      <c r="DN248" s="134"/>
      <c r="DO248" s="134"/>
      <c r="DP248" s="134"/>
      <c r="DQ248" s="134"/>
      <c r="DR248" s="134"/>
      <c r="DS248" s="134"/>
      <c r="DT248" s="134"/>
      <c r="DU248" s="134"/>
      <c r="DV248" s="134"/>
      <c r="DW248" s="134"/>
      <c r="DX248" s="134"/>
      <c r="DY248" s="134"/>
      <c r="DZ248" s="134"/>
      <c r="EA248" s="134"/>
      <c r="EB248" s="134"/>
      <c r="EC248" s="134"/>
      <c r="ED248" s="134"/>
      <c r="EE248" s="134"/>
      <c r="EF248" s="134"/>
      <c r="EG248" s="134"/>
      <c r="EH248" s="134"/>
      <c r="EI248" s="134"/>
      <c r="EJ248" s="134"/>
      <c r="EK248" s="134"/>
      <c r="EL248" s="134"/>
      <c r="EM248" s="134"/>
      <c r="EN248" s="134"/>
      <c r="EO248" s="134"/>
      <c r="EP248" s="134"/>
      <c r="EQ248" s="134"/>
      <c r="ER248" s="134"/>
      <c r="ES248" s="134"/>
      <c r="ET248" s="134"/>
      <c r="EU248" s="134"/>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4"/>
      <c r="FS248" s="134"/>
      <c r="FT248" s="134"/>
      <c r="FU248" s="134"/>
      <c r="FV248" s="134"/>
      <c r="FW248" s="134"/>
      <c r="FX248" s="134"/>
      <c r="FY248" s="134"/>
      <c r="FZ248" s="134"/>
      <c r="GA248" s="134"/>
      <c r="GB248" s="134"/>
      <c r="GC248" s="134"/>
      <c r="GD248" s="134"/>
      <c r="GE248" s="134"/>
      <c r="GF248" s="134"/>
      <c r="GG248" s="134"/>
      <c r="GH248" s="134"/>
      <c r="GI248" s="134"/>
      <c r="GJ248" s="134"/>
      <c r="GK248" s="134"/>
      <c r="GL248" s="134"/>
      <c r="GM248" s="134"/>
      <c r="GN248" s="134"/>
      <c r="GO248" s="134"/>
      <c r="GP248" s="134"/>
      <c r="GQ248" s="134"/>
      <c r="GR248" s="134"/>
      <c r="GS248" s="134"/>
      <c r="GT248" s="134"/>
      <c r="GU248" s="134"/>
      <c r="GV248" s="134"/>
      <c r="GW248" s="134"/>
      <c r="GX248" s="134"/>
      <c r="GY248" s="134"/>
      <c r="GZ248" s="134"/>
      <c r="HA248" s="134"/>
      <c r="HB248" s="134"/>
      <c r="HC248" s="134"/>
      <c r="HD248" s="134"/>
      <c r="HE248" s="134"/>
      <c r="HF248" s="134"/>
      <c r="HG248" s="134"/>
      <c r="HH248" s="134"/>
      <c r="HI248" s="134"/>
      <c r="HJ248" s="134"/>
      <c r="HK248" s="134"/>
      <c r="HL248" s="134"/>
      <c r="HM248" s="134"/>
      <c r="HN248" s="134"/>
      <c r="HO248" s="134"/>
      <c r="HP248" s="134"/>
      <c r="HQ248" s="134"/>
      <c r="HR248" s="134"/>
      <c r="HS248" s="134"/>
      <c r="HT248" s="134"/>
      <c r="HU248" s="134"/>
      <c r="HV248" s="134"/>
      <c r="HW248" s="134"/>
      <c r="HX248" s="134"/>
      <c r="HY248" s="134"/>
      <c r="HZ248" s="134"/>
      <c r="IA248" s="134"/>
      <c r="IB248" s="134"/>
      <c r="IC248" s="134"/>
      <c r="ID248" s="134"/>
      <c r="IE248" s="134"/>
      <c r="IF248" s="134"/>
      <c r="IG248" s="134"/>
      <c r="IH248" s="134"/>
      <c r="II248" s="134"/>
      <c r="IJ248" s="134"/>
      <c r="IK248" s="134"/>
      <c r="IL248" s="134"/>
      <c r="IM248" s="134"/>
      <c r="IN248" s="134"/>
      <c r="IO248" s="134"/>
      <c r="IP248" s="134"/>
      <c r="IQ248" s="134"/>
      <c r="IR248" s="134"/>
      <c r="IS248" s="134"/>
      <c r="IT248" s="134"/>
      <c r="IU248" s="134"/>
    </row>
    <row r="249" spans="1:255" ht="48" customHeight="1" x14ac:dyDescent="0.2">
      <c r="A249" s="236" t="str">
        <f>'HECVAT - Full'!A249</f>
        <v>QLAS-02</v>
      </c>
      <c r="B249" s="236" t="str">
        <f>VLOOKUP(A249,'HECVAT - Full'!A$24:B$312,2,FALSE)</f>
        <v>Do you comply with ISO 9001?</v>
      </c>
      <c r="C249" s="239" t="s">
        <v>2950</v>
      </c>
      <c r="D249" s="240" t="s">
        <v>2951</v>
      </c>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34"/>
      <c r="BQ249" s="134"/>
      <c r="BR249" s="134"/>
      <c r="BS249" s="134"/>
      <c r="BT249" s="134"/>
      <c r="BU249" s="134"/>
      <c r="BV249" s="134"/>
      <c r="BW249" s="134"/>
      <c r="BX249" s="134"/>
      <c r="BY249" s="134"/>
      <c r="BZ249" s="134"/>
      <c r="CA249" s="134"/>
      <c r="CB249" s="134"/>
      <c r="CC249" s="134"/>
      <c r="CD249" s="134"/>
      <c r="CE249" s="134"/>
      <c r="CF249" s="134"/>
      <c r="CG249" s="134"/>
      <c r="CH249" s="134"/>
      <c r="CI249" s="134"/>
      <c r="CJ249" s="134"/>
      <c r="CK249" s="134"/>
      <c r="CL249" s="134"/>
      <c r="CM249" s="134"/>
      <c r="CN249" s="134"/>
      <c r="CO249" s="134"/>
      <c r="CP249" s="134"/>
      <c r="CQ249" s="134"/>
      <c r="CR249" s="134"/>
      <c r="CS249" s="134"/>
      <c r="CT249" s="134"/>
      <c r="CU249" s="134"/>
      <c r="CV249" s="134"/>
      <c r="CW249" s="134"/>
      <c r="CX249" s="134"/>
      <c r="CY249" s="134"/>
      <c r="CZ249" s="134"/>
      <c r="DA249" s="134"/>
      <c r="DB249" s="134"/>
      <c r="DC249" s="134"/>
      <c r="DD249" s="134"/>
      <c r="DE249" s="134"/>
      <c r="DF249" s="134"/>
      <c r="DG249" s="134"/>
      <c r="DH249" s="134"/>
      <c r="DI249" s="134"/>
      <c r="DJ249" s="134"/>
      <c r="DK249" s="134"/>
      <c r="DL249" s="134"/>
      <c r="DM249" s="134"/>
      <c r="DN249" s="134"/>
      <c r="DO249" s="134"/>
      <c r="DP249" s="134"/>
      <c r="DQ249" s="134"/>
      <c r="DR249" s="134"/>
      <c r="DS249" s="134"/>
      <c r="DT249" s="134"/>
      <c r="DU249" s="134"/>
      <c r="DV249" s="134"/>
      <c r="DW249" s="134"/>
      <c r="DX249" s="134"/>
      <c r="DY249" s="134"/>
      <c r="DZ249" s="134"/>
      <c r="EA249" s="134"/>
      <c r="EB249" s="134"/>
      <c r="EC249" s="134"/>
      <c r="ED249" s="134"/>
      <c r="EE249" s="134"/>
      <c r="EF249" s="134"/>
      <c r="EG249" s="134"/>
      <c r="EH249" s="134"/>
      <c r="EI249" s="134"/>
      <c r="EJ249" s="134"/>
      <c r="EK249" s="134"/>
      <c r="EL249" s="134"/>
      <c r="EM249" s="134"/>
      <c r="EN249" s="134"/>
      <c r="EO249" s="134"/>
      <c r="EP249" s="134"/>
      <c r="EQ249" s="134"/>
      <c r="ER249" s="134"/>
      <c r="ES249" s="134"/>
      <c r="ET249" s="134"/>
      <c r="EU249" s="134"/>
      <c r="EV249" s="134"/>
      <c r="EW249" s="134"/>
      <c r="EX249" s="134"/>
      <c r="EY249" s="134"/>
      <c r="EZ249" s="134"/>
      <c r="FA249" s="134"/>
      <c r="FB249" s="134"/>
      <c r="FC249" s="134"/>
      <c r="FD249" s="134"/>
      <c r="FE249" s="134"/>
      <c r="FF249" s="134"/>
      <c r="FG249" s="134"/>
      <c r="FH249" s="134"/>
      <c r="FI249" s="134"/>
      <c r="FJ249" s="134"/>
      <c r="FK249" s="134"/>
      <c r="FL249" s="134"/>
      <c r="FM249" s="134"/>
      <c r="FN249" s="134"/>
      <c r="FO249" s="134"/>
      <c r="FP249" s="134"/>
      <c r="FQ249" s="134"/>
      <c r="FR249" s="134"/>
      <c r="FS249" s="134"/>
      <c r="FT249" s="134"/>
      <c r="FU249" s="134"/>
      <c r="FV249" s="134"/>
      <c r="FW249" s="134"/>
      <c r="FX249" s="134"/>
      <c r="FY249" s="134"/>
      <c r="FZ249" s="134"/>
      <c r="GA249" s="134"/>
      <c r="GB249" s="134"/>
      <c r="GC249" s="134"/>
      <c r="GD249" s="134"/>
      <c r="GE249" s="134"/>
      <c r="GF249" s="134"/>
      <c r="GG249" s="134"/>
      <c r="GH249" s="134"/>
      <c r="GI249" s="134"/>
      <c r="GJ249" s="134"/>
      <c r="GK249" s="134"/>
      <c r="GL249" s="134"/>
      <c r="GM249" s="134"/>
      <c r="GN249" s="134"/>
      <c r="GO249" s="134"/>
      <c r="GP249" s="134"/>
      <c r="GQ249" s="134"/>
      <c r="GR249" s="134"/>
      <c r="GS249" s="134"/>
      <c r="GT249" s="134"/>
      <c r="GU249" s="134"/>
      <c r="GV249" s="134"/>
      <c r="GW249" s="134"/>
      <c r="GX249" s="134"/>
      <c r="GY249" s="134"/>
      <c r="GZ249" s="134"/>
      <c r="HA249" s="134"/>
      <c r="HB249" s="134"/>
      <c r="HC249" s="134"/>
      <c r="HD249" s="134"/>
      <c r="HE249" s="134"/>
      <c r="HF249" s="134"/>
      <c r="HG249" s="134"/>
      <c r="HH249" s="134"/>
      <c r="HI249" s="134"/>
      <c r="HJ249" s="134"/>
      <c r="HK249" s="134"/>
      <c r="HL249" s="134"/>
      <c r="HM249" s="134"/>
      <c r="HN249" s="134"/>
      <c r="HO249" s="134"/>
      <c r="HP249" s="134"/>
      <c r="HQ249" s="134"/>
      <c r="HR249" s="134"/>
      <c r="HS249" s="134"/>
      <c r="HT249" s="134"/>
      <c r="HU249" s="134"/>
      <c r="HV249" s="134"/>
      <c r="HW249" s="134"/>
      <c r="HX249" s="134"/>
      <c r="HY249" s="134"/>
      <c r="HZ249" s="134"/>
      <c r="IA249" s="134"/>
      <c r="IB249" s="134"/>
      <c r="IC249" s="134"/>
      <c r="ID249" s="134"/>
      <c r="IE249" s="134"/>
      <c r="IF249" s="134"/>
      <c r="IG249" s="134"/>
      <c r="IH249" s="134"/>
      <c r="II249" s="134"/>
      <c r="IJ249" s="134"/>
      <c r="IK249" s="134"/>
      <c r="IL249" s="134"/>
      <c r="IM249" s="134"/>
      <c r="IN249" s="134"/>
      <c r="IO249" s="134"/>
      <c r="IP249" s="134"/>
      <c r="IQ249" s="134"/>
      <c r="IR249" s="134"/>
      <c r="IS249" s="134"/>
      <c r="IT249" s="134"/>
      <c r="IU249" s="134"/>
    </row>
    <row r="250" spans="1:255" ht="84" customHeight="1" x14ac:dyDescent="0.2">
      <c r="A250" s="236" t="str">
        <f>'HECVAT - Full'!A250</f>
        <v>QLAS-03</v>
      </c>
      <c r="B250" s="236" t="str">
        <f>VLOOKUP(A250,'HECVAT - Full'!A$24:B$312,2,FALSE)</f>
        <v>Will your company provide quality and performance metrics in relation to the scope of services and performance expectations for the services you are offering?</v>
      </c>
      <c r="C250" s="237" t="s">
        <v>2952</v>
      </c>
      <c r="D250" s="240" t="s">
        <v>2953</v>
      </c>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34"/>
      <c r="BQ250" s="134"/>
      <c r="BR250" s="134"/>
      <c r="BS250" s="134"/>
      <c r="BT250" s="134"/>
      <c r="BU250" s="134"/>
      <c r="BV250" s="134"/>
      <c r="BW250" s="134"/>
      <c r="BX250" s="134"/>
      <c r="BY250" s="134"/>
      <c r="BZ250" s="134"/>
      <c r="CA250" s="134"/>
      <c r="CB250" s="134"/>
      <c r="CC250" s="134"/>
      <c r="CD250" s="134"/>
      <c r="CE250" s="134"/>
      <c r="CF250" s="134"/>
      <c r="CG250" s="134"/>
      <c r="CH250" s="134"/>
      <c r="CI250" s="134"/>
      <c r="CJ250" s="134"/>
      <c r="CK250" s="134"/>
      <c r="CL250" s="134"/>
      <c r="CM250" s="134"/>
      <c r="CN250" s="134"/>
      <c r="CO250" s="134"/>
      <c r="CP250" s="134"/>
      <c r="CQ250" s="134"/>
      <c r="CR250" s="134"/>
      <c r="CS250" s="134"/>
      <c r="CT250" s="134"/>
      <c r="CU250" s="134"/>
      <c r="CV250" s="134"/>
      <c r="CW250" s="134"/>
      <c r="CX250" s="134"/>
      <c r="CY250" s="134"/>
      <c r="CZ250" s="134"/>
      <c r="DA250" s="134"/>
      <c r="DB250" s="134"/>
      <c r="DC250" s="134"/>
      <c r="DD250" s="134"/>
      <c r="DE250" s="134"/>
      <c r="DF250" s="134"/>
      <c r="DG250" s="134"/>
      <c r="DH250" s="134"/>
      <c r="DI250" s="134"/>
      <c r="DJ250" s="134"/>
      <c r="DK250" s="134"/>
      <c r="DL250" s="134"/>
      <c r="DM250" s="134"/>
      <c r="DN250" s="134"/>
      <c r="DO250" s="134"/>
      <c r="DP250" s="134"/>
      <c r="DQ250" s="134"/>
      <c r="DR250" s="134"/>
      <c r="DS250" s="134"/>
      <c r="DT250" s="134"/>
      <c r="DU250" s="134"/>
      <c r="DV250" s="134"/>
      <c r="DW250" s="134"/>
      <c r="DX250" s="134"/>
      <c r="DY250" s="134"/>
      <c r="DZ250" s="134"/>
      <c r="EA250" s="134"/>
      <c r="EB250" s="134"/>
      <c r="EC250" s="134"/>
      <c r="ED250" s="134"/>
      <c r="EE250" s="134"/>
      <c r="EF250" s="134"/>
      <c r="EG250" s="134"/>
      <c r="EH250" s="134"/>
      <c r="EI250" s="134"/>
      <c r="EJ250" s="134"/>
      <c r="EK250" s="134"/>
      <c r="EL250" s="134"/>
      <c r="EM250" s="134"/>
      <c r="EN250" s="134"/>
      <c r="EO250" s="134"/>
      <c r="EP250" s="134"/>
      <c r="EQ250" s="134"/>
      <c r="ER250" s="134"/>
      <c r="ES250" s="134"/>
      <c r="ET250" s="134"/>
      <c r="EU250" s="134"/>
      <c r="EV250" s="134"/>
      <c r="EW250" s="134"/>
      <c r="EX250" s="134"/>
      <c r="EY250" s="134"/>
      <c r="EZ250" s="134"/>
      <c r="FA250" s="134"/>
      <c r="FB250" s="134"/>
      <c r="FC250" s="134"/>
      <c r="FD250" s="134"/>
      <c r="FE250" s="134"/>
      <c r="FF250" s="134"/>
      <c r="FG250" s="134"/>
      <c r="FH250" s="134"/>
      <c r="FI250" s="134"/>
      <c r="FJ250" s="134"/>
      <c r="FK250" s="134"/>
      <c r="FL250" s="134"/>
      <c r="FM250" s="134"/>
      <c r="FN250" s="134"/>
      <c r="FO250" s="134"/>
      <c r="FP250" s="134"/>
      <c r="FQ250" s="134"/>
      <c r="FR250" s="134"/>
      <c r="FS250" s="134"/>
      <c r="FT250" s="134"/>
      <c r="FU250" s="134"/>
      <c r="FV250" s="134"/>
      <c r="FW250" s="134"/>
      <c r="FX250" s="134"/>
      <c r="FY250" s="134"/>
      <c r="FZ250" s="134"/>
      <c r="GA250" s="134"/>
      <c r="GB250" s="134"/>
      <c r="GC250" s="134"/>
      <c r="GD250" s="134"/>
      <c r="GE250" s="134"/>
      <c r="GF250" s="134"/>
      <c r="GG250" s="134"/>
      <c r="GH250" s="134"/>
      <c r="GI250" s="134"/>
      <c r="GJ250" s="134"/>
      <c r="GK250" s="134"/>
      <c r="GL250" s="134"/>
      <c r="GM250" s="134"/>
      <c r="GN250" s="134"/>
      <c r="GO250" s="134"/>
      <c r="GP250" s="134"/>
      <c r="GQ250" s="134"/>
      <c r="GR250" s="134"/>
      <c r="GS250" s="134"/>
      <c r="GT250" s="134"/>
      <c r="GU250" s="134"/>
      <c r="GV250" s="134"/>
      <c r="GW250" s="134"/>
      <c r="GX250" s="134"/>
      <c r="GY250" s="134"/>
      <c r="GZ250" s="134"/>
      <c r="HA250" s="134"/>
      <c r="HB250" s="134"/>
      <c r="HC250" s="134"/>
      <c r="HD250" s="134"/>
      <c r="HE250" s="134"/>
      <c r="HF250" s="134"/>
      <c r="HG250" s="134"/>
      <c r="HH250" s="134"/>
      <c r="HI250" s="134"/>
      <c r="HJ250" s="134"/>
      <c r="HK250" s="134"/>
      <c r="HL250" s="134"/>
      <c r="HM250" s="134"/>
      <c r="HN250" s="134"/>
      <c r="HO250" s="134"/>
      <c r="HP250" s="134"/>
      <c r="HQ250" s="134"/>
      <c r="HR250" s="134"/>
      <c r="HS250" s="134"/>
      <c r="HT250" s="134"/>
      <c r="HU250" s="134"/>
      <c r="HV250" s="134"/>
      <c r="HW250" s="134"/>
      <c r="HX250" s="134"/>
      <c r="HY250" s="134"/>
      <c r="HZ250" s="134"/>
      <c r="IA250" s="134"/>
      <c r="IB250" s="134"/>
      <c r="IC250" s="134"/>
      <c r="ID250" s="134"/>
      <c r="IE250" s="134"/>
      <c r="IF250" s="134"/>
      <c r="IG250" s="134"/>
      <c r="IH250" s="134"/>
      <c r="II250" s="134"/>
      <c r="IJ250" s="134"/>
      <c r="IK250" s="134"/>
      <c r="IL250" s="134"/>
      <c r="IM250" s="134"/>
      <c r="IN250" s="134"/>
      <c r="IO250" s="134"/>
      <c r="IP250" s="134"/>
      <c r="IQ250" s="134"/>
      <c r="IR250" s="134"/>
      <c r="IS250" s="134"/>
      <c r="IT250" s="134"/>
      <c r="IU250" s="134"/>
    </row>
    <row r="251" spans="1:255" ht="96" customHeight="1" x14ac:dyDescent="0.2">
      <c r="A251" s="236" t="str">
        <f>'HECVAT - Full'!A251</f>
        <v>QLAS-04</v>
      </c>
      <c r="B251" s="236" t="str">
        <f>VLOOKUP(A251,'HECVAT - Full'!A$24:B$312,2,FALSE)</f>
        <v>Have you supplied products and/or services to the Institution (or its Campuses) in the last five years?</v>
      </c>
      <c r="C251" s="237" t="s">
        <v>2954</v>
      </c>
      <c r="D251" s="240" t="s">
        <v>2955</v>
      </c>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34"/>
      <c r="BQ251" s="134"/>
      <c r="BR251" s="134"/>
      <c r="BS251" s="134"/>
      <c r="BT251" s="134"/>
      <c r="BU251" s="134"/>
      <c r="BV251" s="134"/>
      <c r="BW251" s="134"/>
      <c r="BX251" s="134"/>
      <c r="BY251" s="134"/>
      <c r="BZ251" s="134"/>
      <c r="CA251" s="134"/>
      <c r="CB251" s="134"/>
      <c r="CC251" s="134"/>
      <c r="CD251" s="134"/>
      <c r="CE251" s="134"/>
      <c r="CF251" s="134"/>
      <c r="CG251" s="134"/>
      <c r="CH251" s="134"/>
      <c r="CI251" s="134"/>
      <c r="CJ251" s="134"/>
      <c r="CK251" s="134"/>
      <c r="CL251" s="134"/>
      <c r="CM251" s="134"/>
      <c r="CN251" s="134"/>
      <c r="CO251" s="134"/>
      <c r="CP251" s="134"/>
      <c r="CQ251" s="134"/>
      <c r="CR251" s="134"/>
      <c r="CS251" s="134"/>
      <c r="CT251" s="134"/>
      <c r="CU251" s="134"/>
      <c r="CV251" s="134"/>
      <c r="CW251" s="134"/>
      <c r="CX251" s="134"/>
      <c r="CY251" s="134"/>
      <c r="CZ251" s="134"/>
      <c r="DA251" s="134"/>
      <c r="DB251" s="134"/>
      <c r="DC251" s="134"/>
      <c r="DD251" s="134"/>
      <c r="DE251" s="134"/>
      <c r="DF251" s="134"/>
      <c r="DG251" s="134"/>
      <c r="DH251" s="134"/>
      <c r="DI251" s="134"/>
      <c r="DJ251" s="134"/>
      <c r="DK251" s="134"/>
      <c r="DL251" s="134"/>
      <c r="DM251" s="134"/>
      <c r="DN251" s="134"/>
      <c r="DO251" s="134"/>
      <c r="DP251" s="134"/>
      <c r="DQ251" s="134"/>
      <c r="DR251" s="134"/>
      <c r="DS251" s="134"/>
      <c r="DT251" s="134"/>
      <c r="DU251" s="134"/>
      <c r="DV251" s="134"/>
      <c r="DW251" s="134"/>
      <c r="DX251" s="134"/>
      <c r="DY251" s="134"/>
      <c r="DZ251" s="134"/>
      <c r="EA251" s="134"/>
      <c r="EB251" s="134"/>
      <c r="EC251" s="134"/>
      <c r="ED251" s="134"/>
      <c r="EE251" s="134"/>
      <c r="EF251" s="134"/>
      <c r="EG251" s="134"/>
      <c r="EH251" s="134"/>
      <c r="EI251" s="134"/>
      <c r="EJ251" s="134"/>
      <c r="EK251" s="134"/>
      <c r="EL251" s="134"/>
      <c r="EM251" s="134"/>
      <c r="EN251" s="134"/>
      <c r="EO251" s="134"/>
      <c r="EP251" s="134"/>
      <c r="EQ251" s="134"/>
      <c r="ER251" s="134"/>
      <c r="ES251" s="134"/>
      <c r="ET251" s="134"/>
      <c r="EU251" s="134"/>
      <c r="EV251" s="134"/>
      <c r="EW251" s="134"/>
      <c r="EX251" s="134"/>
      <c r="EY251" s="134"/>
      <c r="EZ251" s="134"/>
      <c r="FA251" s="134"/>
      <c r="FB251" s="134"/>
      <c r="FC251" s="134"/>
      <c r="FD251" s="134"/>
      <c r="FE251" s="134"/>
      <c r="FF251" s="134"/>
      <c r="FG251" s="134"/>
      <c r="FH251" s="134"/>
      <c r="FI251" s="134"/>
      <c r="FJ251" s="134"/>
      <c r="FK251" s="134"/>
      <c r="FL251" s="134"/>
      <c r="FM251" s="134"/>
      <c r="FN251" s="134"/>
      <c r="FO251" s="134"/>
      <c r="FP251" s="134"/>
      <c r="FQ251" s="134"/>
      <c r="FR251" s="134"/>
      <c r="FS251" s="134"/>
      <c r="FT251" s="134"/>
      <c r="FU251" s="134"/>
      <c r="FV251" s="134"/>
      <c r="FW251" s="134"/>
      <c r="FX251" s="134"/>
      <c r="FY251" s="134"/>
      <c r="FZ251" s="134"/>
      <c r="GA251" s="134"/>
      <c r="GB251" s="134"/>
      <c r="GC251" s="134"/>
      <c r="GD251" s="134"/>
      <c r="GE251" s="134"/>
      <c r="GF251" s="134"/>
      <c r="GG251" s="134"/>
      <c r="GH251" s="134"/>
      <c r="GI251" s="134"/>
      <c r="GJ251" s="134"/>
      <c r="GK251" s="134"/>
      <c r="GL251" s="134"/>
      <c r="GM251" s="134"/>
      <c r="GN251" s="134"/>
      <c r="GO251" s="134"/>
      <c r="GP251" s="134"/>
      <c r="GQ251" s="134"/>
      <c r="GR251" s="134"/>
      <c r="GS251" s="134"/>
      <c r="GT251" s="134"/>
      <c r="GU251" s="134"/>
      <c r="GV251" s="134"/>
      <c r="GW251" s="134"/>
      <c r="GX251" s="134"/>
      <c r="GY251" s="134"/>
      <c r="GZ251" s="134"/>
      <c r="HA251" s="134"/>
      <c r="HB251" s="134"/>
      <c r="HC251" s="134"/>
      <c r="HD251" s="134"/>
      <c r="HE251" s="134"/>
      <c r="HF251" s="134"/>
      <c r="HG251" s="134"/>
      <c r="HH251" s="134"/>
      <c r="HI251" s="134"/>
      <c r="HJ251" s="134"/>
      <c r="HK251" s="134"/>
      <c r="HL251" s="134"/>
      <c r="HM251" s="134"/>
      <c r="HN251" s="134"/>
      <c r="HO251" s="134"/>
      <c r="HP251" s="134"/>
      <c r="HQ251" s="134"/>
      <c r="HR251" s="134"/>
      <c r="HS251" s="134"/>
      <c r="HT251" s="134"/>
      <c r="HU251" s="134"/>
      <c r="HV251" s="134"/>
      <c r="HW251" s="134"/>
      <c r="HX251" s="134"/>
      <c r="HY251" s="134"/>
      <c r="HZ251" s="134"/>
      <c r="IA251" s="134"/>
      <c r="IB251" s="134"/>
      <c r="IC251" s="134"/>
      <c r="ID251" s="134"/>
      <c r="IE251" s="134"/>
      <c r="IF251" s="134"/>
      <c r="IG251" s="134"/>
      <c r="IH251" s="134"/>
      <c r="II251" s="134"/>
      <c r="IJ251" s="134"/>
      <c r="IK251" s="134"/>
      <c r="IL251" s="134"/>
      <c r="IM251" s="134"/>
      <c r="IN251" s="134"/>
      <c r="IO251" s="134"/>
      <c r="IP251" s="134"/>
      <c r="IQ251" s="134"/>
      <c r="IR251" s="134"/>
      <c r="IS251" s="134"/>
      <c r="IT251" s="134"/>
      <c r="IU251" s="134"/>
    </row>
    <row r="252" spans="1:255" ht="48" customHeight="1" x14ac:dyDescent="0.2">
      <c r="A252" s="236" t="str">
        <f>'HECVAT - Full'!A252</f>
        <v>QLAS-05</v>
      </c>
      <c r="B252" s="236" t="str">
        <f>VLOOKUP(A252,'HECVAT - Full'!A$24:B$312,2,FALSE)</f>
        <v>Do you have a program to keep your customers abreast of higher education and/or industry issues?</v>
      </c>
      <c r="C252" s="237" t="s">
        <v>2956</v>
      </c>
      <c r="D252" s="247" t="s">
        <v>2957</v>
      </c>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34"/>
      <c r="BQ252" s="134"/>
      <c r="BR252" s="134"/>
      <c r="BS252" s="134"/>
      <c r="BT252" s="134"/>
      <c r="BU252" s="134"/>
      <c r="BV252" s="134"/>
      <c r="BW252" s="134"/>
      <c r="BX252" s="134"/>
      <c r="BY252" s="134"/>
      <c r="BZ252" s="134"/>
      <c r="CA252" s="134"/>
      <c r="CB252" s="134"/>
      <c r="CC252" s="134"/>
      <c r="CD252" s="134"/>
      <c r="CE252" s="134"/>
      <c r="CF252" s="134"/>
      <c r="CG252" s="134"/>
      <c r="CH252" s="134"/>
      <c r="CI252" s="134"/>
      <c r="CJ252" s="134"/>
      <c r="CK252" s="134"/>
      <c r="CL252" s="134"/>
      <c r="CM252" s="134"/>
      <c r="CN252" s="134"/>
      <c r="CO252" s="134"/>
      <c r="CP252" s="134"/>
      <c r="CQ252" s="134"/>
      <c r="CR252" s="134"/>
      <c r="CS252" s="134"/>
      <c r="CT252" s="134"/>
      <c r="CU252" s="134"/>
      <c r="CV252" s="134"/>
      <c r="CW252" s="134"/>
      <c r="CX252" s="134"/>
      <c r="CY252" s="134"/>
      <c r="CZ252" s="134"/>
      <c r="DA252" s="134"/>
      <c r="DB252" s="134"/>
      <c r="DC252" s="134"/>
      <c r="DD252" s="134"/>
      <c r="DE252" s="134"/>
      <c r="DF252" s="134"/>
      <c r="DG252" s="134"/>
      <c r="DH252" s="134"/>
      <c r="DI252" s="134"/>
      <c r="DJ252" s="134"/>
      <c r="DK252" s="134"/>
      <c r="DL252" s="134"/>
      <c r="DM252" s="134"/>
      <c r="DN252" s="134"/>
      <c r="DO252" s="134"/>
      <c r="DP252" s="134"/>
      <c r="DQ252" s="134"/>
      <c r="DR252" s="134"/>
      <c r="DS252" s="134"/>
      <c r="DT252" s="134"/>
      <c r="DU252" s="134"/>
      <c r="DV252" s="134"/>
      <c r="DW252" s="134"/>
      <c r="DX252" s="134"/>
      <c r="DY252" s="134"/>
      <c r="DZ252" s="134"/>
      <c r="EA252" s="134"/>
      <c r="EB252" s="134"/>
      <c r="EC252" s="134"/>
      <c r="ED252" s="134"/>
      <c r="EE252" s="134"/>
      <c r="EF252" s="134"/>
      <c r="EG252" s="134"/>
      <c r="EH252" s="134"/>
      <c r="EI252" s="134"/>
      <c r="EJ252" s="134"/>
      <c r="EK252" s="134"/>
      <c r="EL252" s="134"/>
      <c r="EM252" s="134"/>
      <c r="EN252" s="134"/>
      <c r="EO252" s="134"/>
      <c r="EP252" s="134"/>
      <c r="EQ252" s="134"/>
      <c r="ER252" s="134"/>
      <c r="ES252" s="134"/>
      <c r="ET252" s="134"/>
      <c r="EU252" s="134"/>
      <c r="EV252" s="134"/>
      <c r="EW252" s="134"/>
      <c r="EX252" s="134"/>
      <c r="EY252" s="134"/>
      <c r="EZ252" s="134"/>
      <c r="FA252" s="134"/>
      <c r="FB252" s="134"/>
      <c r="FC252" s="134"/>
      <c r="FD252" s="134"/>
      <c r="FE252" s="134"/>
      <c r="FF252" s="134"/>
      <c r="FG252" s="134"/>
      <c r="FH252" s="134"/>
      <c r="FI252" s="134"/>
      <c r="FJ252" s="134"/>
      <c r="FK252" s="134"/>
      <c r="FL252" s="134"/>
      <c r="FM252" s="134"/>
      <c r="FN252" s="134"/>
      <c r="FO252" s="134"/>
      <c r="FP252" s="134"/>
      <c r="FQ252" s="134"/>
      <c r="FR252" s="134"/>
      <c r="FS252" s="134"/>
      <c r="FT252" s="134"/>
      <c r="FU252" s="134"/>
      <c r="FV252" s="134"/>
      <c r="FW252" s="134"/>
      <c r="FX252" s="134"/>
      <c r="FY252" s="134"/>
      <c r="FZ252" s="134"/>
      <c r="GA252" s="134"/>
      <c r="GB252" s="134"/>
      <c r="GC252" s="134"/>
      <c r="GD252" s="134"/>
      <c r="GE252" s="134"/>
      <c r="GF252" s="134"/>
      <c r="GG252" s="134"/>
      <c r="GH252" s="134"/>
      <c r="GI252" s="134"/>
      <c r="GJ252" s="134"/>
      <c r="GK252" s="134"/>
      <c r="GL252" s="134"/>
      <c r="GM252" s="134"/>
      <c r="GN252" s="134"/>
      <c r="GO252" s="134"/>
      <c r="GP252" s="134"/>
      <c r="GQ252" s="134"/>
      <c r="GR252" s="134"/>
      <c r="GS252" s="134"/>
      <c r="GT252" s="134"/>
      <c r="GU252" s="134"/>
      <c r="GV252" s="134"/>
      <c r="GW252" s="134"/>
      <c r="GX252" s="134"/>
      <c r="GY252" s="134"/>
      <c r="GZ252" s="134"/>
      <c r="HA252" s="134"/>
      <c r="HB252" s="134"/>
      <c r="HC252" s="134"/>
      <c r="HD252" s="134"/>
      <c r="HE252" s="134"/>
      <c r="HF252" s="134"/>
      <c r="HG252" s="134"/>
      <c r="HH252" s="134"/>
      <c r="HI252" s="134"/>
      <c r="HJ252" s="134"/>
      <c r="HK252" s="134"/>
      <c r="HL252" s="134"/>
      <c r="HM252" s="134"/>
      <c r="HN252" s="134"/>
      <c r="HO252" s="134"/>
      <c r="HP252" s="134"/>
      <c r="HQ252" s="134"/>
      <c r="HR252" s="134"/>
      <c r="HS252" s="134"/>
      <c r="HT252" s="134"/>
      <c r="HU252" s="134"/>
      <c r="HV252" s="134"/>
      <c r="HW252" s="134"/>
      <c r="HX252" s="134"/>
      <c r="HY252" s="134"/>
      <c r="HZ252" s="134"/>
      <c r="IA252" s="134"/>
      <c r="IB252" s="134"/>
      <c r="IC252" s="134"/>
      <c r="ID252" s="134"/>
      <c r="IE252" s="134"/>
      <c r="IF252" s="134"/>
      <c r="IG252" s="134"/>
      <c r="IH252" s="134"/>
      <c r="II252" s="134"/>
      <c r="IJ252" s="134"/>
      <c r="IK252" s="134"/>
      <c r="IL252" s="134"/>
      <c r="IM252" s="134"/>
      <c r="IN252" s="134"/>
      <c r="IO252" s="134"/>
      <c r="IP252" s="134"/>
      <c r="IQ252" s="134"/>
      <c r="IR252" s="134"/>
      <c r="IS252" s="134"/>
      <c r="IT252" s="134"/>
      <c r="IU252" s="134"/>
    </row>
    <row r="253" spans="1:255" ht="36" customHeight="1" x14ac:dyDescent="0.2">
      <c r="A253" s="341" t="str">
        <f>IF($C$30="","Systems Management &amp; Configuration",IF($C$30="Yes","System Mgmt/Config - Optional based on QUALIFIER response.","Systems Management &amp; Configuration"))</f>
        <v>Systems Management &amp; Configuration</v>
      </c>
      <c r="B253" s="341"/>
      <c r="C253" s="234" t="str">
        <f>$C$22</f>
        <v>Reason for Question</v>
      </c>
      <c r="D253" s="234" t="str">
        <f>$D$22</f>
        <v>Follow-up Inquiries/Responses</v>
      </c>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4"/>
      <c r="BR253" s="134"/>
      <c r="BS253" s="134"/>
      <c r="BT253" s="134"/>
      <c r="BU253" s="134"/>
      <c r="BV253" s="134"/>
      <c r="BW253" s="134"/>
      <c r="BX253" s="134"/>
      <c r="BY253" s="134"/>
      <c r="BZ253" s="134"/>
      <c r="CA253" s="134"/>
      <c r="CB253" s="134"/>
      <c r="CC253" s="134"/>
      <c r="CD253" s="134"/>
      <c r="CE253" s="134"/>
      <c r="CF253" s="134"/>
      <c r="CG253" s="134"/>
      <c r="CH253" s="134"/>
      <c r="CI253" s="134"/>
      <c r="CJ253" s="134"/>
      <c r="CK253" s="134"/>
      <c r="CL253" s="134"/>
      <c r="CM253" s="134"/>
      <c r="CN253" s="134"/>
      <c r="CO253" s="134"/>
      <c r="CP253" s="134"/>
      <c r="CQ253" s="134"/>
      <c r="CR253" s="134"/>
      <c r="CS253" s="134"/>
      <c r="CT253" s="134"/>
      <c r="CU253" s="134"/>
      <c r="CV253" s="134"/>
      <c r="CW253" s="134"/>
      <c r="CX253" s="134"/>
      <c r="CY253" s="134"/>
      <c r="CZ253" s="134"/>
      <c r="DA253" s="134"/>
      <c r="DB253" s="134"/>
      <c r="DC253" s="134"/>
      <c r="DD253" s="134"/>
      <c r="DE253" s="134"/>
      <c r="DF253" s="134"/>
      <c r="DG253" s="134"/>
      <c r="DH253" s="134"/>
      <c r="DI253" s="134"/>
      <c r="DJ253" s="134"/>
      <c r="DK253" s="134"/>
      <c r="DL253" s="134"/>
      <c r="DM253" s="134"/>
      <c r="DN253" s="134"/>
      <c r="DO253" s="134"/>
      <c r="DP253" s="134"/>
      <c r="DQ253" s="134"/>
      <c r="DR253" s="134"/>
      <c r="DS253" s="134"/>
      <c r="DT253" s="134"/>
      <c r="DU253" s="134"/>
      <c r="DV253" s="134"/>
      <c r="DW253" s="134"/>
      <c r="DX253" s="134"/>
      <c r="DY253" s="134"/>
      <c r="DZ253" s="134"/>
      <c r="EA253" s="134"/>
      <c r="EB253" s="134"/>
      <c r="EC253" s="134"/>
      <c r="ED253" s="134"/>
      <c r="EE253" s="134"/>
      <c r="EF253" s="134"/>
      <c r="EG253" s="134"/>
      <c r="EH253" s="134"/>
      <c r="EI253" s="134"/>
      <c r="EJ253" s="134"/>
      <c r="EK253" s="134"/>
      <c r="EL253" s="134"/>
      <c r="EM253" s="134"/>
      <c r="EN253" s="134"/>
      <c r="EO253" s="134"/>
      <c r="EP253" s="134"/>
      <c r="EQ253" s="134"/>
      <c r="ER253" s="134"/>
      <c r="ES253" s="134"/>
      <c r="ET253" s="134"/>
      <c r="EU253" s="134"/>
      <c r="EV253" s="134"/>
      <c r="EW253" s="134"/>
      <c r="EX253" s="134"/>
      <c r="EY253" s="134"/>
      <c r="EZ253" s="134"/>
      <c r="FA253" s="134"/>
      <c r="FB253" s="134"/>
      <c r="FC253" s="134"/>
      <c r="FD253" s="134"/>
      <c r="FE253" s="134"/>
      <c r="FF253" s="134"/>
      <c r="FG253" s="134"/>
      <c r="FH253" s="134"/>
      <c r="FI253" s="134"/>
      <c r="FJ253" s="134"/>
      <c r="FK253" s="134"/>
      <c r="FL253" s="134"/>
      <c r="FM253" s="134"/>
      <c r="FN253" s="134"/>
      <c r="FO253" s="134"/>
      <c r="FP253" s="134"/>
      <c r="FQ253" s="134"/>
      <c r="FR253" s="134"/>
      <c r="FS253" s="134"/>
      <c r="FT253" s="134"/>
      <c r="FU253" s="134"/>
      <c r="FV253" s="134"/>
      <c r="FW253" s="134"/>
      <c r="FX253" s="134"/>
      <c r="FY253" s="134"/>
      <c r="FZ253" s="134"/>
      <c r="GA253" s="134"/>
      <c r="GB253" s="134"/>
      <c r="GC253" s="134"/>
      <c r="GD253" s="134"/>
      <c r="GE253" s="134"/>
      <c r="GF253" s="134"/>
      <c r="GG253" s="134"/>
      <c r="GH253" s="134"/>
      <c r="GI253" s="134"/>
      <c r="GJ253" s="134"/>
      <c r="GK253" s="134"/>
      <c r="GL253" s="134"/>
      <c r="GM253" s="134"/>
      <c r="GN253" s="134"/>
      <c r="GO253" s="134"/>
      <c r="GP253" s="134"/>
      <c r="GQ253" s="134"/>
      <c r="GR253" s="134"/>
      <c r="GS253" s="134"/>
      <c r="GT253" s="134"/>
      <c r="GU253" s="134"/>
      <c r="GV253" s="134"/>
      <c r="GW253" s="134"/>
      <c r="GX253" s="134"/>
      <c r="GY253" s="134"/>
      <c r="GZ253" s="134"/>
      <c r="HA253" s="134"/>
      <c r="HB253" s="134"/>
      <c r="HC253" s="134"/>
      <c r="HD253" s="134"/>
      <c r="HE253" s="134"/>
      <c r="HF253" s="134"/>
      <c r="HG253" s="134"/>
      <c r="HH253" s="134"/>
      <c r="HI253" s="134"/>
      <c r="HJ253" s="134"/>
      <c r="HK253" s="134"/>
      <c r="HL253" s="134"/>
      <c r="HM253" s="134"/>
      <c r="HN253" s="134"/>
      <c r="HO253" s="134"/>
      <c r="HP253" s="134"/>
      <c r="HQ253" s="134"/>
      <c r="HR253" s="134"/>
      <c r="HS253" s="134"/>
      <c r="HT253" s="134"/>
      <c r="HU253" s="134"/>
      <c r="HV253" s="134"/>
      <c r="HW253" s="134"/>
      <c r="HX253" s="134"/>
      <c r="HY253" s="134"/>
      <c r="HZ253" s="134"/>
      <c r="IA253" s="134"/>
      <c r="IB253" s="134"/>
      <c r="IC253" s="134"/>
      <c r="ID253" s="134"/>
      <c r="IE253" s="134"/>
      <c r="IF253" s="134"/>
      <c r="IG253" s="134"/>
      <c r="IH253" s="134"/>
      <c r="II253" s="134"/>
      <c r="IJ253" s="134"/>
      <c r="IK253" s="134"/>
      <c r="IL253" s="134"/>
      <c r="IM253" s="134"/>
      <c r="IN253" s="134"/>
      <c r="IO253" s="134"/>
      <c r="IP253" s="134"/>
      <c r="IQ253" s="134"/>
      <c r="IR253" s="134"/>
      <c r="IS253" s="134"/>
      <c r="IT253" s="134"/>
      <c r="IU253" s="134"/>
    </row>
    <row r="254" spans="1:255" ht="124" customHeight="1" x14ac:dyDescent="0.2">
      <c r="A254" s="236" t="str">
        <f>'HECVAT - Full'!A254</f>
        <v>SYST-01</v>
      </c>
      <c r="B254" s="236" t="str">
        <f>VLOOKUP(A254,'HECVAT - Full'!A$24:B$312,2,FALSE)</f>
        <v>Are systems that support this service managed via a separate management network?</v>
      </c>
      <c r="C254" s="239" t="s">
        <v>2958</v>
      </c>
      <c r="D254" s="242" t="s">
        <v>2959</v>
      </c>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34"/>
      <c r="BQ254" s="134"/>
      <c r="BR254" s="134"/>
      <c r="BS254" s="134"/>
      <c r="BT254" s="134"/>
      <c r="BU254" s="134"/>
      <c r="BV254" s="134"/>
      <c r="BW254" s="134"/>
      <c r="BX254" s="134"/>
      <c r="BY254" s="134"/>
      <c r="BZ254" s="134"/>
      <c r="CA254" s="134"/>
      <c r="CB254" s="134"/>
      <c r="CC254" s="134"/>
      <c r="CD254" s="134"/>
      <c r="CE254" s="134"/>
      <c r="CF254" s="134"/>
      <c r="CG254" s="134"/>
      <c r="CH254" s="134"/>
      <c r="CI254" s="134"/>
      <c r="CJ254" s="134"/>
      <c r="CK254" s="134"/>
      <c r="CL254" s="134"/>
      <c r="CM254" s="134"/>
      <c r="CN254" s="134"/>
      <c r="CO254" s="134"/>
      <c r="CP254" s="134"/>
      <c r="CQ254" s="134"/>
      <c r="CR254" s="134"/>
      <c r="CS254" s="134"/>
      <c r="CT254" s="134"/>
      <c r="CU254" s="134"/>
      <c r="CV254" s="134"/>
      <c r="CW254" s="134"/>
      <c r="CX254" s="134"/>
      <c r="CY254" s="134"/>
      <c r="CZ254" s="134"/>
      <c r="DA254" s="134"/>
      <c r="DB254" s="134"/>
      <c r="DC254" s="134"/>
      <c r="DD254" s="134"/>
      <c r="DE254" s="134"/>
      <c r="DF254" s="134"/>
      <c r="DG254" s="134"/>
      <c r="DH254" s="134"/>
      <c r="DI254" s="134"/>
      <c r="DJ254" s="134"/>
      <c r="DK254" s="134"/>
      <c r="DL254" s="134"/>
      <c r="DM254" s="134"/>
      <c r="DN254" s="134"/>
      <c r="DO254" s="134"/>
      <c r="DP254" s="134"/>
      <c r="DQ254" s="134"/>
      <c r="DR254" s="134"/>
      <c r="DS254" s="134"/>
      <c r="DT254" s="134"/>
      <c r="DU254" s="134"/>
      <c r="DV254" s="134"/>
      <c r="DW254" s="134"/>
      <c r="DX254" s="134"/>
      <c r="DY254" s="134"/>
      <c r="DZ254" s="134"/>
      <c r="EA254" s="134"/>
      <c r="EB254" s="134"/>
      <c r="EC254" s="134"/>
      <c r="ED254" s="134"/>
      <c r="EE254" s="134"/>
      <c r="EF254" s="134"/>
      <c r="EG254" s="134"/>
      <c r="EH254" s="134"/>
      <c r="EI254" s="134"/>
      <c r="EJ254" s="134"/>
      <c r="EK254" s="134"/>
      <c r="EL254" s="134"/>
      <c r="EM254" s="134"/>
      <c r="EN254" s="134"/>
      <c r="EO254" s="134"/>
      <c r="EP254" s="134"/>
      <c r="EQ254" s="134"/>
      <c r="ER254" s="134"/>
      <c r="ES254" s="134"/>
      <c r="ET254" s="134"/>
      <c r="EU254" s="134"/>
      <c r="EV254" s="134"/>
      <c r="EW254" s="134"/>
      <c r="EX254" s="134"/>
      <c r="EY254" s="134"/>
      <c r="EZ254" s="134"/>
      <c r="FA254" s="134"/>
      <c r="FB254" s="134"/>
      <c r="FC254" s="134"/>
      <c r="FD254" s="134"/>
      <c r="FE254" s="134"/>
      <c r="FF254" s="134"/>
      <c r="FG254" s="134"/>
      <c r="FH254" s="134"/>
      <c r="FI254" s="134"/>
      <c r="FJ254" s="134"/>
      <c r="FK254" s="134"/>
      <c r="FL254" s="134"/>
      <c r="FM254" s="134"/>
      <c r="FN254" s="134"/>
      <c r="FO254" s="134"/>
      <c r="FP254" s="134"/>
      <c r="FQ254" s="134"/>
      <c r="FR254" s="134"/>
      <c r="FS254" s="134"/>
      <c r="FT254" s="134"/>
      <c r="FU254" s="134"/>
      <c r="FV254" s="134"/>
      <c r="FW254" s="134"/>
      <c r="FX254" s="134"/>
      <c r="FY254" s="134"/>
      <c r="FZ254" s="134"/>
      <c r="GA254" s="134"/>
      <c r="GB254" s="134"/>
      <c r="GC254" s="134"/>
      <c r="GD254" s="134"/>
      <c r="GE254" s="134"/>
      <c r="GF254" s="134"/>
      <c r="GG254" s="134"/>
      <c r="GH254" s="134"/>
      <c r="GI254" s="134"/>
      <c r="GJ254" s="134"/>
      <c r="GK254" s="134"/>
      <c r="GL254" s="134"/>
      <c r="GM254" s="134"/>
      <c r="GN254" s="134"/>
      <c r="GO254" s="134"/>
      <c r="GP254" s="134"/>
      <c r="GQ254" s="134"/>
      <c r="GR254" s="134"/>
      <c r="GS254" s="134"/>
      <c r="GT254" s="134"/>
      <c r="GU254" s="134"/>
      <c r="GV254" s="134"/>
      <c r="GW254" s="134"/>
      <c r="GX254" s="134"/>
      <c r="GY254" s="134"/>
      <c r="GZ254" s="134"/>
      <c r="HA254" s="134"/>
      <c r="HB254" s="134"/>
      <c r="HC254" s="134"/>
      <c r="HD254" s="134"/>
      <c r="HE254" s="134"/>
      <c r="HF254" s="134"/>
      <c r="HG254" s="134"/>
      <c r="HH254" s="134"/>
      <c r="HI254" s="134"/>
      <c r="HJ254" s="134"/>
      <c r="HK254" s="134"/>
      <c r="HL254" s="134"/>
      <c r="HM254" s="134"/>
      <c r="HN254" s="134"/>
      <c r="HO254" s="134"/>
      <c r="HP254" s="134"/>
      <c r="HQ254" s="134"/>
      <c r="HR254" s="134"/>
      <c r="HS254" s="134"/>
      <c r="HT254" s="134"/>
      <c r="HU254" s="134"/>
      <c r="HV254" s="134"/>
      <c r="HW254" s="134"/>
      <c r="HX254" s="134"/>
      <c r="HY254" s="134"/>
      <c r="HZ254" s="134"/>
      <c r="IA254" s="134"/>
      <c r="IB254" s="134"/>
      <c r="IC254" s="134"/>
      <c r="ID254" s="134"/>
      <c r="IE254" s="134"/>
      <c r="IF254" s="134"/>
      <c r="IG254" s="134"/>
      <c r="IH254" s="134"/>
      <c r="II254" s="134"/>
      <c r="IJ254" s="134"/>
      <c r="IK254" s="134"/>
      <c r="IL254" s="134"/>
      <c r="IM254" s="134"/>
      <c r="IN254" s="134"/>
      <c r="IO254" s="134"/>
      <c r="IP254" s="134"/>
      <c r="IQ254" s="134"/>
      <c r="IR254" s="134"/>
      <c r="IS254" s="134"/>
      <c r="IT254" s="134"/>
      <c r="IU254" s="134"/>
    </row>
    <row r="255" spans="1:255" ht="118.5" customHeight="1" x14ac:dyDescent="0.2">
      <c r="A255" s="236" t="str">
        <f>'HECVAT - Full'!A255</f>
        <v>SYST-02</v>
      </c>
      <c r="B255" s="236" t="str">
        <f>VLOOKUP(A255,'HECVAT - Full'!A$24:B$312,2,FALSE)</f>
        <v>Do you have an implemented system configuration management process? (e.g. secure "gold" images, etc.)</v>
      </c>
      <c r="C255" s="237" t="s">
        <v>2960</v>
      </c>
      <c r="D255" s="31" t="s">
        <v>3041</v>
      </c>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c r="CZ255" s="134"/>
      <c r="DA255" s="134"/>
      <c r="DB255" s="134"/>
      <c r="DC255" s="134"/>
      <c r="DD255" s="134"/>
      <c r="DE255" s="134"/>
      <c r="DF255" s="134"/>
      <c r="DG255" s="134"/>
      <c r="DH255" s="134"/>
      <c r="DI255" s="134"/>
      <c r="DJ255" s="134"/>
      <c r="DK255" s="134"/>
      <c r="DL255" s="134"/>
      <c r="DM255" s="134"/>
      <c r="DN255" s="134"/>
      <c r="DO255" s="134"/>
      <c r="DP255" s="134"/>
      <c r="DQ255" s="134"/>
      <c r="DR255" s="134"/>
      <c r="DS255" s="134"/>
      <c r="DT255" s="134"/>
      <c r="DU255" s="134"/>
      <c r="DV255" s="134"/>
      <c r="DW255" s="134"/>
      <c r="DX255" s="134"/>
      <c r="DY255" s="134"/>
      <c r="DZ255" s="134"/>
      <c r="EA255" s="134"/>
      <c r="EB255" s="134"/>
      <c r="EC255" s="134"/>
      <c r="ED255" s="134"/>
      <c r="EE255" s="134"/>
      <c r="EF255" s="134"/>
      <c r="EG255" s="134"/>
      <c r="EH255" s="134"/>
      <c r="EI255" s="134"/>
      <c r="EJ255" s="134"/>
      <c r="EK255" s="134"/>
      <c r="EL255" s="134"/>
      <c r="EM255" s="134"/>
      <c r="EN255" s="134"/>
      <c r="EO255" s="134"/>
      <c r="EP255" s="134"/>
      <c r="EQ255" s="134"/>
      <c r="ER255" s="134"/>
      <c r="ES255" s="134"/>
      <c r="ET255" s="134"/>
      <c r="EU255" s="134"/>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4"/>
      <c r="FS255" s="134"/>
      <c r="FT255" s="134"/>
      <c r="FU255" s="134"/>
      <c r="FV255" s="134"/>
      <c r="FW255" s="134"/>
      <c r="FX255" s="134"/>
      <c r="FY255" s="134"/>
      <c r="FZ255" s="134"/>
      <c r="GA255" s="134"/>
      <c r="GB255" s="134"/>
      <c r="GC255" s="134"/>
      <c r="GD255" s="134"/>
      <c r="GE255" s="134"/>
      <c r="GF255" s="134"/>
      <c r="GG255" s="134"/>
      <c r="GH255" s="134"/>
      <c r="GI255" s="134"/>
      <c r="GJ255" s="134"/>
      <c r="GK255" s="134"/>
      <c r="GL255" s="134"/>
      <c r="GM255" s="134"/>
      <c r="GN255" s="134"/>
      <c r="GO255" s="134"/>
      <c r="GP255" s="134"/>
      <c r="GQ255" s="134"/>
      <c r="GR255" s="134"/>
      <c r="GS255" s="134"/>
      <c r="GT255" s="134"/>
      <c r="GU255" s="134"/>
      <c r="GV255" s="134"/>
      <c r="GW255" s="134"/>
      <c r="GX255" s="134"/>
      <c r="GY255" s="134"/>
      <c r="GZ255" s="134"/>
      <c r="HA255" s="134"/>
      <c r="HB255" s="134"/>
      <c r="HC255" s="134"/>
      <c r="HD255" s="134"/>
      <c r="HE255" s="134"/>
      <c r="HF255" s="134"/>
      <c r="HG255" s="134"/>
      <c r="HH255" s="134"/>
      <c r="HI255" s="134"/>
      <c r="HJ255" s="134"/>
      <c r="HK255" s="134"/>
      <c r="HL255" s="134"/>
      <c r="HM255" s="134"/>
      <c r="HN255" s="134"/>
      <c r="HO255" s="134"/>
      <c r="HP255" s="134"/>
      <c r="HQ255" s="134"/>
      <c r="HR255" s="134"/>
      <c r="HS255" s="134"/>
      <c r="HT255" s="134"/>
      <c r="HU255" s="134"/>
      <c r="HV255" s="134"/>
      <c r="HW255" s="134"/>
      <c r="HX255" s="134"/>
      <c r="HY255" s="134"/>
      <c r="HZ255" s="134"/>
      <c r="IA255" s="134"/>
      <c r="IB255" s="134"/>
      <c r="IC255" s="134"/>
      <c r="ID255" s="134"/>
      <c r="IE255" s="134"/>
      <c r="IF255" s="134"/>
      <c r="IG255" s="134"/>
      <c r="IH255" s="134"/>
      <c r="II255" s="134"/>
      <c r="IJ255" s="134"/>
      <c r="IK255" s="134"/>
      <c r="IL255" s="134"/>
      <c r="IM255" s="134"/>
      <c r="IN255" s="134"/>
      <c r="IO255" s="134"/>
      <c r="IP255" s="134"/>
      <c r="IQ255" s="134"/>
      <c r="IR255" s="134"/>
      <c r="IS255" s="134"/>
      <c r="IT255" s="134"/>
      <c r="IU255" s="134"/>
    </row>
    <row r="256" spans="1:255" ht="75" customHeight="1" x14ac:dyDescent="0.2">
      <c r="A256" s="236" t="str">
        <f>'HECVAT - Full'!A256</f>
        <v>SYST-03</v>
      </c>
      <c r="B256" s="236" t="str">
        <f>VLOOKUP(A256,'HECVAT - Full'!A$24:B$312,2,FALSE)</f>
        <v>Are employee mobile devices managed by your company's Mobile Device Management (MDM) platform?</v>
      </c>
      <c r="C256" s="237" t="s">
        <v>2961</v>
      </c>
      <c r="D256" s="247" t="s">
        <v>2962</v>
      </c>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c r="HI256" s="134"/>
      <c r="HJ256" s="134"/>
      <c r="HK256" s="134"/>
      <c r="HL256" s="134"/>
      <c r="HM256" s="134"/>
      <c r="HN256" s="134"/>
      <c r="HO256" s="134"/>
      <c r="HP256" s="134"/>
      <c r="HQ256" s="134"/>
      <c r="HR256" s="134"/>
      <c r="HS256" s="134"/>
      <c r="HT256" s="134"/>
      <c r="HU256" s="134"/>
      <c r="HV256" s="134"/>
      <c r="HW256" s="134"/>
      <c r="HX256" s="134"/>
      <c r="HY256" s="134"/>
      <c r="HZ256" s="134"/>
      <c r="IA256" s="134"/>
      <c r="IB256" s="134"/>
      <c r="IC256" s="134"/>
      <c r="ID256" s="134"/>
      <c r="IE256" s="134"/>
      <c r="IF256" s="134"/>
      <c r="IG256" s="134"/>
      <c r="IH256" s="134"/>
      <c r="II256" s="134"/>
      <c r="IJ256" s="134"/>
      <c r="IK256" s="134"/>
      <c r="IL256" s="134"/>
      <c r="IM256" s="134"/>
      <c r="IN256" s="134"/>
      <c r="IO256" s="134"/>
      <c r="IP256" s="134"/>
      <c r="IQ256" s="134"/>
      <c r="IR256" s="134"/>
      <c r="IS256" s="134"/>
      <c r="IT256" s="134"/>
      <c r="IU256" s="134"/>
    </row>
    <row r="257" spans="1:255" ht="96" customHeight="1" x14ac:dyDescent="0.2">
      <c r="A257" s="236" t="str">
        <f>'HECVAT - Full'!A257</f>
        <v>SYST-04</v>
      </c>
      <c r="B257" s="236" t="str">
        <f>VLOOKUP(A257,'HECVAT - Full'!A$24:B$312,2,FALSE)</f>
        <v>Do you have a systems management and configuration strategy that encompasses servers, appliances, and mobile devices (company and employee owned)?</v>
      </c>
      <c r="C257" s="239" t="s">
        <v>2963</v>
      </c>
      <c r="D257" s="239" t="s">
        <v>2964</v>
      </c>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c r="HI257" s="134"/>
      <c r="HJ257" s="134"/>
      <c r="HK257" s="134"/>
      <c r="HL257" s="134"/>
      <c r="HM257" s="134"/>
      <c r="HN257" s="134"/>
      <c r="HO257" s="134"/>
      <c r="HP257" s="134"/>
      <c r="HQ257" s="134"/>
      <c r="HR257" s="134"/>
      <c r="HS257" s="134"/>
      <c r="HT257" s="134"/>
      <c r="HU257" s="134"/>
      <c r="HV257" s="134"/>
      <c r="HW257" s="134"/>
      <c r="HX257" s="134"/>
      <c r="HY257" s="134"/>
      <c r="HZ257" s="134"/>
      <c r="IA257" s="134"/>
      <c r="IB257" s="134"/>
      <c r="IC257" s="134"/>
      <c r="ID257" s="134"/>
      <c r="IE257" s="134"/>
      <c r="IF257" s="134"/>
      <c r="IG257" s="134"/>
      <c r="IH257" s="134"/>
      <c r="II257" s="134"/>
      <c r="IJ257" s="134"/>
      <c r="IK257" s="134"/>
      <c r="IL257" s="134"/>
      <c r="IM257" s="134"/>
      <c r="IN257" s="134"/>
      <c r="IO257" s="134"/>
      <c r="IP257" s="134"/>
      <c r="IQ257" s="134"/>
      <c r="IR257" s="134"/>
      <c r="IS257" s="134"/>
      <c r="IT257" s="134"/>
      <c r="IU257" s="134"/>
    </row>
    <row r="258" spans="1:255" ht="36" customHeight="1" x14ac:dyDescent="0.2">
      <c r="A258" s="341" t="str">
        <f>IF($C$30="","Vulnerability Scanning",IF($C$30="Yes","Vulnerability Scanning - Optional based on QUALIFIER response.","Vulnerability Scanning"))</f>
        <v>Vulnerability Scanning</v>
      </c>
      <c r="B258" s="341"/>
      <c r="C258" s="234" t="str">
        <f>$C$22</f>
        <v>Reason for Question</v>
      </c>
      <c r="D258" s="234" t="str">
        <f>$D$22</f>
        <v>Follow-up Inquiries/Responses</v>
      </c>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c r="HI258" s="134"/>
      <c r="HJ258" s="134"/>
      <c r="HK258" s="134"/>
      <c r="HL258" s="134"/>
      <c r="HM258" s="134"/>
      <c r="HN258" s="134"/>
      <c r="HO258" s="134"/>
      <c r="HP258" s="134"/>
      <c r="HQ258" s="134"/>
      <c r="HR258" s="134"/>
      <c r="HS258" s="134"/>
      <c r="HT258" s="134"/>
      <c r="HU258" s="134"/>
      <c r="HV258" s="134"/>
      <c r="HW258" s="134"/>
      <c r="HX258" s="134"/>
      <c r="HY258" s="134"/>
      <c r="HZ258" s="134"/>
      <c r="IA258" s="134"/>
      <c r="IB258" s="134"/>
      <c r="IC258" s="134"/>
      <c r="ID258" s="134"/>
      <c r="IE258" s="134"/>
      <c r="IF258" s="134"/>
      <c r="IG258" s="134"/>
      <c r="IH258" s="134"/>
      <c r="II258" s="134"/>
      <c r="IJ258" s="134"/>
      <c r="IK258" s="134"/>
      <c r="IL258" s="134"/>
      <c r="IM258" s="134"/>
      <c r="IN258" s="134"/>
      <c r="IO258" s="134"/>
      <c r="IP258" s="134"/>
      <c r="IQ258" s="134"/>
      <c r="IR258" s="134"/>
      <c r="IS258" s="134"/>
      <c r="IT258" s="134"/>
      <c r="IU258" s="134"/>
    </row>
    <row r="259" spans="1:255" ht="120" x14ac:dyDescent="0.2">
      <c r="A259" s="236" t="str">
        <f>'HECVAT - Full'!A259</f>
        <v>VULN-01</v>
      </c>
      <c r="B259" s="236" t="str">
        <f>VLOOKUP(A259,'HECVAT - Full'!A$24:B$312,2,FALSE)</f>
        <v>Are your applications scanned externally for vulnerabilities?</v>
      </c>
      <c r="C259" s="269" t="s">
        <v>3036</v>
      </c>
      <c r="D259" s="272" t="s">
        <v>3037</v>
      </c>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34"/>
      <c r="BQ259" s="134"/>
      <c r="BR259" s="134"/>
      <c r="BS259" s="134"/>
      <c r="BT259" s="134"/>
      <c r="BU259" s="134"/>
      <c r="BV259" s="134"/>
      <c r="BW259" s="134"/>
      <c r="BX259" s="134"/>
      <c r="BY259" s="134"/>
      <c r="BZ259" s="134"/>
      <c r="CA259" s="134"/>
      <c r="CB259" s="134"/>
      <c r="CC259" s="134"/>
      <c r="CD259" s="134"/>
      <c r="CE259" s="134"/>
      <c r="CF259" s="134"/>
      <c r="CG259" s="134"/>
      <c r="CH259" s="134"/>
      <c r="CI259" s="134"/>
      <c r="CJ259" s="134"/>
      <c r="CK259" s="134"/>
      <c r="CL259" s="134"/>
      <c r="CM259" s="134"/>
      <c r="CN259" s="134"/>
      <c r="CO259" s="134"/>
      <c r="CP259" s="134"/>
      <c r="CQ259" s="134"/>
      <c r="CR259" s="134"/>
      <c r="CS259" s="134"/>
      <c r="CT259" s="134"/>
      <c r="CU259" s="134"/>
      <c r="CV259" s="134"/>
      <c r="CW259" s="134"/>
      <c r="CX259" s="134"/>
      <c r="CY259" s="134"/>
      <c r="CZ259" s="134"/>
      <c r="DA259" s="134"/>
      <c r="DB259" s="134"/>
      <c r="DC259" s="134"/>
      <c r="DD259" s="134"/>
      <c r="DE259" s="134"/>
      <c r="DF259" s="134"/>
      <c r="DG259" s="134"/>
      <c r="DH259" s="134"/>
      <c r="DI259" s="134"/>
      <c r="DJ259" s="134"/>
      <c r="DK259" s="134"/>
      <c r="DL259" s="134"/>
      <c r="DM259" s="134"/>
      <c r="DN259" s="134"/>
      <c r="DO259" s="134"/>
      <c r="DP259" s="134"/>
      <c r="DQ259" s="134"/>
      <c r="DR259" s="134"/>
      <c r="DS259" s="134"/>
      <c r="DT259" s="134"/>
      <c r="DU259" s="134"/>
      <c r="DV259" s="134"/>
      <c r="DW259" s="134"/>
      <c r="DX259" s="134"/>
      <c r="DY259" s="134"/>
      <c r="DZ259" s="134"/>
      <c r="EA259" s="134"/>
      <c r="EB259" s="134"/>
      <c r="EC259" s="134"/>
      <c r="ED259" s="134"/>
      <c r="EE259" s="134"/>
      <c r="EF259" s="134"/>
      <c r="EG259" s="134"/>
      <c r="EH259" s="134"/>
      <c r="EI259" s="134"/>
      <c r="EJ259" s="134"/>
      <c r="EK259" s="134"/>
      <c r="EL259" s="134"/>
      <c r="EM259" s="134"/>
      <c r="EN259" s="134"/>
      <c r="EO259" s="134"/>
      <c r="EP259" s="134"/>
      <c r="EQ259" s="134"/>
      <c r="ER259" s="134"/>
      <c r="ES259" s="134"/>
      <c r="ET259" s="134"/>
      <c r="EU259" s="134"/>
      <c r="EV259" s="134"/>
      <c r="EW259" s="134"/>
      <c r="EX259" s="134"/>
      <c r="EY259" s="134"/>
      <c r="EZ259" s="134"/>
      <c r="FA259" s="134"/>
      <c r="FB259" s="134"/>
      <c r="FC259" s="134"/>
      <c r="FD259" s="134"/>
      <c r="FE259" s="134"/>
      <c r="FF259" s="134"/>
      <c r="FG259" s="134"/>
      <c r="FH259" s="134"/>
      <c r="FI259" s="134"/>
      <c r="FJ259" s="134"/>
      <c r="FK259" s="134"/>
      <c r="FL259" s="134"/>
      <c r="FM259" s="134"/>
      <c r="FN259" s="134"/>
      <c r="FO259" s="134"/>
      <c r="FP259" s="134"/>
      <c r="FQ259" s="134"/>
      <c r="FR259" s="134"/>
      <c r="FS259" s="134"/>
      <c r="FT259" s="134"/>
      <c r="FU259" s="134"/>
      <c r="FV259" s="134"/>
      <c r="FW259" s="134"/>
      <c r="FX259" s="134"/>
      <c r="FY259" s="134"/>
      <c r="FZ259" s="134"/>
      <c r="GA259" s="134"/>
      <c r="GB259" s="134"/>
      <c r="GC259" s="134"/>
      <c r="GD259" s="134"/>
      <c r="GE259" s="134"/>
      <c r="GF259" s="134"/>
      <c r="GG259" s="134"/>
      <c r="GH259" s="134"/>
      <c r="GI259" s="134"/>
      <c r="GJ259" s="134"/>
      <c r="GK259" s="134"/>
      <c r="GL259" s="134"/>
      <c r="GM259" s="134"/>
      <c r="GN259" s="134"/>
      <c r="GO259" s="134"/>
      <c r="GP259" s="134"/>
      <c r="GQ259" s="134"/>
      <c r="GR259" s="134"/>
      <c r="GS259" s="134"/>
      <c r="GT259" s="134"/>
      <c r="GU259" s="134"/>
      <c r="GV259" s="134"/>
      <c r="GW259" s="134"/>
      <c r="GX259" s="134"/>
      <c r="GY259" s="134"/>
      <c r="GZ259" s="134"/>
      <c r="HA259" s="134"/>
      <c r="HB259" s="134"/>
      <c r="HC259" s="134"/>
      <c r="HD259" s="134"/>
      <c r="HE259" s="134"/>
      <c r="HF259" s="134"/>
      <c r="HG259" s="134"/>
      <c r="HH259" s="134"/>
      <c r="HI259" s="134"/>
      <c r="HJ259" s="134"/>
      <c r="HK259" s="134"/>
      <c r="HL259" s="134"/>
      <c r="HM259" s="134"/>
      <c r="HN259" s="134"/>
      <c r="HO259" s="134"/>
      <c r="HP259" s="134"/>
      <c r="HQ259" s="134"/>
      <c r="HR259" s="134"/>
      <c r="HS259" s="134"/>
      <c r="HT259" s="134"/>
      <c r="HU259" s="134"/>
      <c r="HV259" s="134"/>
      <c r="HW259" s="134"/>
      <c r="HX259" s="134"/>
      <c r="HY259" s="134"/>
      <c r="HZ259" s="134"/>
      <c r="IA259" s="134"/>
      <c r="IB259" s="134"/>
      <c r="IC259" s="134"/>
      <c r="ID259" s="134"/>
      <c r="IE259" s="134"/>
      <c r="IF259" s="134"/>
      <c r="IG259" s="134"/>
      <c r="IH259" s="134"/>
      <c r="II259" s="134"/>
      <c r="IJ259" s="134"/>
      <c r="IK259" s="134"/>
      <c r="IL259" s="134"/>
      <c r="IM259" s="134"/>
      <c r="IN259" s="134"/>
      <c r="IO259" s="134"/>
      <c r="IP259" s="134"/>
      <c r="IQ259" s="134"/>
      <c r="IR259" s="134"/>
      <c r="IS259" s="134"/>
      <c r="IT259" s="134"/>
      <c r="IU259" s="134"/>
    </row>
    <row r="260" spans="1:255" ht="120" x14ac:dyDescent="0.2">
      <c r="A260" s="236" t="str">
        <f>'HECVAT - Full'!A260</f>
        <v>VULN-02</v>
      </c>
      <c r="B260" s="236" t="str">
        <f>VLOOKUP(A260,'HECVAT - Full'!A$24:B$312,2,FALSE)</f>
        <v>Have your applications had an external vulnerability assessment in the last year?</v>
      </c>
      <c r="C260" s="269" t="s">
        <v>3036</v>
      </c>
      <c r="D260" s="272" t="s">
        <v>3038</v>
      </c>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4"/>
      <c r="BR260" s="134"/>
      <c r="BS260" s="134"/>
      <c r="BT260" s="134"/>
      <c r="BU260" s="134"/>
      <c r="BV260" s="134"/>
      <c r="BW260" s="134"/>
      <c r="BX260" s="134"/>
      <c r="BY260" s="134"/>
      <c r="BZ260" s="134"/>
      <c r="CA260" s="134"/>
      <c r="CB260" s="134"/>
      <c r="CC260" s="134"/>
      <c r="CD260" s="134"/>
      <c r="CE260" s="134"/>
      <c r="CF260" s="134"/>
      <c r="CG260" s="134"/>
      <c r="CH260" s="134"/>
      <c r="CI260" s="134"/>
      <c r="CJ260" s="134"/>
      <c r="CK260" s="134"/>
      <c r="CL260" s="134"/>
      <c r="CM260" s="134"/>
      <c r="CN260" s="134"/>
      <c r="CO260" s="134"/>
      <c r="CP260" s="134"/>
      <c r="CQ260" s="134"/>
      <c r="CR260" s="134"/>
      <c r="CS260" s="134"/>
      <c r="CT260" s="134"/>
      <c r="CU260" s="134"/>
      <c r="CV260" s="134"/>
      <c r="CW260" s="134"/>
      <c r="CX260" s="134"/>
      <c r="CY260" s="134"/>
      <c r="CZ260" s="134"/>
      <c r="DA260" s="134"/>
      <c r="DB260" s="134"/>
      <c r="DC260" s="134"/>
      <c r="DD260" s="134"/>
      <c r="DE260" s="134"/>
      <c r="DF260" s="134"/>
      <c r="DG260" s="134"/>
      <c r="DH260" s="134"/>
      <c r="DI260" s="134"/>
      <c r="DJ260" s="134"/>
      <c r="DK260" s="134"/>
      <c r="DL260" s="134"/>
      <c r="DM260" s="134"/>
      <c r="DN260" s="134"/>
      <c r="DO260" s="134"/>
      <c r="DP260" s="134"/>
      <c r="DQ260" s="134"/>
      <c r="DR260" s="134"/>
      <c r="DS260" s="134"/>
      <c r="DT260" s="134"/>
      <c r="DU260" s="134"/>
      <c r="DV260" s="134"/>
      <c r="DW260" s="134"/>
      <c r="DX260" s="134"/>
      <c r="DY260" s="134"/>
      <c r="DZ260" s="134"/>
      <c r="EA260" s="134"/>
      <c r="EB260" s="134"/>
      <c r="EC260" s="134"/>
      <c r="ED260" s="134"/>
      <c r="EE260" s="134"/>
      <c r="EF260" s="134"/>
      <c r="EG260" s="134"/>
      <c r="EH260" s="134"/>
      <c r="EI260" s="134"/>
      <c r="EJ260" s="134"/>
      <c r="EK260" s="134"/>
      <c r="EL260" s="134"/>
      <c r="EM260" s="134"/>
      <c r="EN260" s="134"/>
      <c r="EO260" s="134"/>
      <c r="EP260" s="134"/>
      <c r="EQ260" s="134"/>
      <c r="ER260" s="134"/>
      <c r="ES260" s="134"/>
      <c r="ET260" s="134"/>
      <c r="EU260" s="134"/>
      <c r="EV260" s="134"/>
      <c r="EW260" s="134"/>
      <c r="EX260" s="134"/>
      <c r="EY260" s="134"/>
      <c r="EZ260" s="134"/>
      <c r="FA260" s="134"/>
      <c r="FB260" s="134"/>
      <c r="FC260" s="134"/>
      <c r="FD260" s="134"/>
      <c r="FE260" s="134"/>
      <c r="FF260" s="134"/>
      <c r="FG260" s="134"/>
      <c r="FH260" s="134"/>
      <c r="FI260" s="134"/>
      <c r="FJ260" s="134"/>
      <c r="FK260" s="134"/>
      <c r="FL260" s="134"/>
      <c r="FM260" s="134"/>
      <c r="FN260" s="134"/>
      <c r="FO260" s="134"/>
      <c r="FP260" s="134"/>
      <c r="FQ260" s="134"/>
      <c r="FR260" s="134"/>
      <c r="FS260" s="134"/>
      <c r="FT260" s="134"/>
      <c r="FU260" s="134"/>
      <c r="FV260" s="134"/>
      <c r="FW260" s="134"/>
      <c r="FX260" s="134"/>
      <c r="FY260" s="134"/>
      <c r="FZ260" s="134"/>
      <c r="GA260" s="134"/>
      <c r="GB260" s="134"/>
      <c r="GC260" s="134"/>
      <c r="GD260" s="134"/>
      <c r="GE260" s="134"/>
      <c r="GF260" s="134"/>
      <c r="GG260" s="134"/>
      <c r="GH260" s="134"/>
      <c r="GI260" s="134"/>
      <c r="GJ260" s="134"/>
      <c r="GK260" s="134"/>
      <c r="GL260" s="134"/>
      <c r="GM260" s="134"/>
      <c r="GN260" s="134"/>
      <c r="GO260" s="134"/>
      <c r="GP260" s="134"/>
      <c r="GQ260" s="134"/>
      <c r="GR260" s="134"/>
      <c r="GS260" s="134"/>
      <c r="GT260" s="134"/>
      <c r="GU260" s="134"/>
      <c r="GV260" s="134"/>
      <c r="GW260" s="134"/>
      <c r="GX260" s="134"/>
      <c r="GY260" s="134"/>
      <c r="GZ260" s="134"/>
      <c r="HA260" s="134"/>
      <c r="HB260" s="134"/>
      <c r="HC260" s="134"/>
      <c r="HD260" s="134"/>
      <c r="HE260" s="134"/>
      <c r="HF260" s="134"/>
      <c r="HG260" s="134"/>
      <c r="HH260" s="134"/>
      <c r="HI260" s="134"/>
      <c r="HJ260" s="134"/>
      <c r="HK260" s="134"/>
      <c r="HL260" s="134"/>
      <c r="HM260" s="134"/>
      <c r="HN260" s="134"/>
      <c r="HO260" s="134"/>
      <c r="HP260" s="134"/>
      <c r="HQ260" s="134"/>
      <c r="HR260" s="134"/>
      <c r="HS260" s="134"/>
      <c r="HT260" s="134"/>
      <c r="HU260" s="134"/>
      <c r="HV260" s="134"/>
      <c r="HW260" s="134"/>
      <c r="HX260" s="134"/>
      <c r="HY260" s="134"/>
      <c r="HZ260" s="134"/>
      <c r="IA260" s="134"/>
      <c r="IB260" s="134"/>
      <c r="IC260" s="134"/>
      <c r="ID260" s="134"/>
      <c r="IE260" s="134"/>
      <c r="IF260" s="134"/>
      <c r="IG260" s="134"/>
      <c r="IH260" s="134"/>
      <c r="II260" s="134"/>
      <c r="IJ260" s="134"/>
      <c r="IK260" s="134"/>
      <c r="IL260" s="134"/>
      <c r="IM260" s="134"/>
      <c r="IN260" s="134"/>
      <c r="IO260" s="134"/>
      <c r="IP260" s="134"/>
      <c r="IQ260" s="134"/>
      <c r="IR260" s="134"/>
      <c r="IS260" s="134"/>
      <c r="IT260" s="134"/>
      <c r="IU260" s="134"/>
    </row>
    <row r="261" spans="1:255" ht="105" x14ac:dyDescent="0.2">
      <c r="A261" s="236" t="str">
        <f>'HECVAT - Full'!A261</f>
        <v>VULN-03</v>
      </c>
      <c r="B261" s="236" t="str">
        <f>VLOOKUP(A261,'HECVAT - Full'!A$24:B$312,2,FALSE)</f>
        <v>Are your applications scanned for vulnerabilities prior to new releases?</v>
      </c>
      <c r="C261" s="269" t="s">
        <v>3042</v>
      </c>
      <c r="D261" s="242" t="s">
        <v>2965</v>
      </c>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4"/>
      <c r="BQ261" s="134"/>
      <c r="BR261" s="134"/>
      <c r="BS261" s="134"/>
      <c r="BT261" s="134"/>
      <c r="BU261" s="134"/>
      <c r="BV261" s="134"/>
      <c r="BW261" s="134"/>
      <c r="BX261" s="134"/>
      <c r="BY261" s="134"/>
      <c r="BZ261" s="134"/>
      <c r="CA261" s="134"/>
      <c r="CB261" s="134"/>
      <c r="CC261" s="134"/>
      <c r="CD261" s="134"/>
      <c r="CE261" s="134"/>
      <c r="CF261" s="134"/>
      <c r="CG261" s="134"/>
      <c r="CH261" s="134"/>
      <c r="CI261" s="134"/>
      <c r="CJ261" s="134"/>
      <c r="CK261" s="134"/>
      <c r="CL261" s="134"/>
      <c r="CM261" s="134"/>
      <c r="CN261" s="134"/>
      <c r="CO261" s="134"/>
      <c r="CP261" s="134"/>
      <c r="CQ261" s="134"/>
      <c r="CR261" s="134"/>
      <c r="CS261" s="134"/>
      <c r="CT261" s="134"/>
      <c r="CU261" s="134"/>
      <c r="CV261" s="134"/>
      <c r="CW261" s="134"/>
      <c r="CX261" s="134"/>
      <c r="CY261" s="134"/>
      <c r="CZ261" s="134"/>
      <c r="DA261" s="134"/>
      <c r="DB261" s="134"/>
      <c r="DC261" s="134"/>
      <c r="DD261" s="134"/>
      <c r="DE261" s="134"/>
      <c r="DF261" s="134"/>
      <c r="DG261" s="134"/>
      <c r="DH261" s="134"/>
      <c r="DI261" s="134"/>
      <c r="DJ261" s="134"/>
      <c r="DK261" s="134"/>
      <c r="DL261" s="134"/>
      <c r="DM261" s="134"/>
      <c r="DN261" s="134"/>
      <c r="DO261" s="134"/>
      <c r="DP261" s="134"/>
      <c r="DQ261" s="134"/>
      <c r="DR261" s="134"/>
      <c r="DS261" s="134"/>
      <c r="DT261" s="134"/>
      <c r="DU261" s="134"/>
      <c r="DV261" s="134"/>
      <c r="DW261" s="134"/>
      <c r="DX261" s="134"/>
      <c r="DY261" s="134"/>
      <c r="DZ261" s="134"/>
      <c r="EA261" s="134"/>
      <c r="EB261" s="134"/>
      <c r="EC261" s="134"/>
      <c r="ED261" s="134"/>
      <c r="EE261" s="134"/>
      <c r="EF261" s="134"/>
      <c r="EG261" s="134"/>
      <c r="EH261" s="134"/>
      <c r="EI261" s="134"/>
      <c r="EJ261" s="134"/>
      <c r="EK261" s="134"/>
      <c r="EL261" s="134"/>
      <c r="EM261" s="134"/>
      <c r="EN261" s="134"/>
      <c r="EO261" s="134"/>
      <c r="EP261" s="134"/>
      <c r="EQ261" s="134"/>
      <c r="ER261" s="134"/>
      <c r="ES261" s="134"/>
      <c r="ET261" s="134"/>
      <c r="EU261" s="134"/>
      <c r="EV261" s="134"/>
      <c r="EW261" s="134"/>
      <c r="EX261" s="134"/>
      <c r="EY261" s="134"/>
      <c r="EZ261" s="134"/>
      <c r="FA261" s="134"/>
      <c r="FB261" s="134"/>
      <c r="FC261" s="134"/>
      <c r="FD261" s="134"/>
      <c r="FE261" s="134"/>
      <c r="FF261" s="134"/>
      <c r="FG261" s="134"/>
      <c r="FH261" s="134"/>
      <c r="FI261" s="134"/>
      <c r="FJ261" s="134"/>
      <c r="FK261" s="134"/>
      <c r="FL261" s="134"/>
      <c r="FM261" s="134"/>
      <c r="FN261" s="134"/>
      <c r="FO261" s="134"/>
      <c r="FP261" s="134"/>
      <c r="FQ261" s="134"/>
      <c r="FR261" s="134"/>
      <c r="FS261" s="134"/>
      <c r="FT261" s="134"/>
      <c r="FU261" s="134"/>
      <c r="FV261" s="134"/>
      <c r="FW261" s="134"/>
      <c r="FX261" s="134"/>
      <c r="FY261" s="134"/>
      <c r="FZ261" s="134"/>
      <c r="GA261" s="134"/>
      <c r="GB261" s="134"/>
      <c r="GC261" s="134"/>
      <c r="GD261" s="134"/>
      <c r="GE261" s="134"/>
      <c r="GF261" s="134"/>
      <c r="GG261" s="134"/>
      <c r="GH261" s="134"/>
      <c r="GI261" s="134"/>
      <c r="GJ261" s="134"/>
      <c r="GK261" s="134"/>
      <c r="GL261" s="134"/>
      <c r="GM261" s="134"/>
      <c r="GN261" s="134"/>
      <c r="GO261" s="134"/>
      <c r="GP261" s="134"/>
      <c r="GQ261" s="134"/>
      <c r="GR261" s="134"/>
      <c r="GS261" s="134"/>
      <c r="GT261" s="134"/>
      <c r="GU261" s="134"/>
      <c r="GV261" s="134"/>
      <c r="GW261" s="134"/>
      <c r="GX261" s="134"/>
      <c r="GY261" s="134"/>
      <c r="GZ261" s="134"/>
      <c r="HA261" s="134"/>
      <c r="HB261" s="134"/>
      <c r="HC261" s="134"/>
      <c r="HD261" s="134"/>
      <c r="HE261" s="134"/>
      <c r="HF261" s="134"/>
      <c r="HG261" s="134"/>
      <c r="HH261" s="134"/>
      <c r="HI261" s="134"/>
      <c r="HJ261" s="134"/>
      <c r="HK261" s="134"/>
      <c r="HL261" s="134"/>
      <c r="HM261" s="134"/>
      <c r="HN261" s="134"/>
      <c r="HO261" s="134"/>
      <c r="HP261" s="134"/>
      <c r="HQ261" s="134"/>
      <c r="HR261" s="134"/>
      <c r="HS261" s="134"/>
      <c r="HT261" s="134"/>
      <c r="HU261" s="134"/>
      <c r="HV261" s="134"/>
      <c r="HW261" s="134"/>
      <c r="HX261" s="134"/>
      <c r="HY261" s="134"/>
      <c r="HZ261" s="134"/>
      <c r="IA261" s="134"/>
      <c r="IB261" s="134"/>
      <c r="IC261" s="134"/>
      <c r="ID261" s="134"/>
      <c r="IE261" s="134"/>
      <c r="IF261" s="134"/>
      <c r="IG261" s="134"/>
      <c r="IH261" s="134"/>
      <c r="II261" s="134"/>
      <c r="IJ261" s="134"/>
      <c r="IK261" s="134"/>
      <c r="IL261" s="134"/>
      <c r="IM261" s="134"/>
      <c r="IN261" s="134"/>
      <c r="IO261" s="134"/>
      <c r="IP261" s="134"/>
      <c r="IQ261" s="134"/>
      <c r="IR261" s="134"/>
      <c r="IS261" s="134"/>
      <c r="IT261" s="134"/>
      <c r="IU261" s="134"/>
    </row>
    <row r="262" spans="1:255" ht="120" x14ac:dyDescent="0.2">
      <c r="A262" s="236" t="str">
        <f>'HECVAT - Full'!A262</f>
        <v>VULN-04</v>
      </c>
      <c r="B262" s="236" t="str">
        <f>VLOOKUP(A262,'HECVAT - Full'!A$24:B$312,2,FALSE)</f>
        <v>Are your systems scanned externally for vulnerabilities?</v>
      </c>
      <c r="C262" s="269" t="s">
        <v>3043</v>
      </c>
      <c r="D262" s="272" t="s">
        <v>3038</v>
      </c>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34"/>
      <c r="BQ262" s="134"/>
      <c r="BR262" s="134"/>
      <c r="BS262" s="134"/>
      <c r="BT262" s="134"/>
      <c r="BU262" s="134"/>
      <c r="BV262" s="134"/>
      <c r="BW262" s="134"/>
      <c r="BX262" s="134"/>
      <c r="BY262" s="134"/>
      <c r="BZ262" s="134"/>
      <c r="CA262" s="134"/>
      <c r="CB262" s="134"/>
      <c r="CC262" s="134"/>
      <c r="CD262" s="134"/>
      <c r="CE262" s="134"/>
      <c r="CF262" s="134"/>
      <c r="CG262" s="134"/>
      <c r="CH262" s="134"/>
      <c r="CI262" s="134"/>
      <c r="CJ262" s="134"/>
      <c r="CK262" s="134"/>
      <c r="CL262" s="134"/>
      <c r="CM262" s="134"/>
      <c r="CN262" s="134"/>
      <c r="CO262" s="134"/>
      <c r="CP262" s="134"/>
      <c r="CQ262" s="134"/>
      <c r="CR262" s="134"/>
      <c r="CS262" s="134"/>
      <c r="CT262" s="134"/>
      <c r="CU262" s="134"/>
      <c r="CV262" s="134"/>
      <c r="CW262" s="134"/>
      <c r="CX262" s="134"/>
      <c r="CY262" s="134"/>
      <c r="CZ262" s="134"/>
      <c r="DA262" s="134"/>
      <c r="DB262" s="134"/>
      <c r="DC262" s="134"/>
      <c r="DD262" s="134"/>
      <c r="DE262" s="134"/>
      <c r="DF262" s="134"/>
      <c r="DG262" s="134"/>
      <c r="DH262" s="134"/>
      <c r="DI262" s="134"/>
      <c r="DJ262" s="134"/>
      <c r="DK262" s="134"/>
      <c r="DL262" s="134"/>
      <c r="DM262" s="134"/>
      <c r="DN262" s="134"/>
      <c r="DO262" s="134"/>
      <c r="DP262" s="134"/>
      <c r="DQ262" s="134"/>
      <c r="DR262" s="134"/>
      <c r="DS262" s="134"/>
      <c r="DT262" s="134"/>
      <c r="DU262" s="134"/>
      <c r="DV262" s="134"/>
      <c r="DW262" s="134"/>
      <c r="DX262" s="134"/>
      <c r="DY262" s="134"/>
      <c r="DZ262" s="134"/>
      <c r="EA262" s="134"/>
      <c r="EB262" s="134"/>
      <c r="EC262" s="134"/>
      <c r="ED262" s="134"/>
      <c r="EE262" s="134"/>
      <c r="EF262" s="134"/>
      <c r="EG262" s="134"/>
      <c r="EH262" s="134"/>
      <c r="EI262" s="134"/>
      <c r="EJ262" s="134"/>
      <c r="EK262" s="134"/>
      <c r="EL262" s="134"/>
      <c r="EM262" s="134"/>
      <c r="EN262" s="134"/>
      <c r="EO262" s="134"/>
      <c r="EP262" s="134"/>
      <c r="EQ262" s="134"/>
      <c r="ER262" s="134"/>
      <c r="ES262" s="134"/>
      <c r="ET262" s="134"/>
      <c r="EU262" s="134"/>
      <c r="EV262" s="134"/>
      <c r="EW262" s="134"/>
      <c r="EX262" s="134"/>
      <c r="EY262" s="134"/>
      <c r="EZ262" s="134"/>
      <c r="FA262" s="134"/>
      <c r="FB262" s="134"/>
      <c r="FC262" s="134"/>
      <c r="FD262" s="134"/>
      <c r="FE262" s="134"/>
      <c r="FF262" s="134"/>
      <c r="FG262" s="134"/>
      <c r="FH262" s="134"/>
      <c r="FI262" s="134"/>
      <c r="FJ262" s="134"/>
      <c r="FK262" s="134"/>
      <c r="FL262" s="134"/>
      <c r="FM262" s="134"/>
      <c r="FN262" s="134"/>
      <c r="FO262" s="134"/>
      <c r="FP262" s="134"/>
      <c r="FQ262" s="134"/>
      <c r="FR262" s="134"/>
      <c r="FS262" s="134"/>
      <c r="FT262" s="134"/>
      <c r="FU262" s="134"/>
      <c r="FV262" s="134"/>
      <c r="FW262" s="134"/>
      <c r="FX262" s="134"/>
      <c r="FY262" s="134"/>
      <c r="FZ262" s="134"/>
      <c r="GA262" s="134"/>
      <c r="GB262" s="134"/>
      <c r="GC262" s="134"/>
      <c r="GD262" s="134"/>
      <c r="GE262" s="134"/>
      <c r="GF262" s="134"/>
      <c r="GG262" s="134"/>
      <c r="GH262" s="134"/>
      <c r="GI262" s="134"/>
      <c r="GJ262" s="134"/>
      <c r="GK262" s="134"/>
      <c r="GL262" s="134"/>
      <c r="GM262" s="134"/>
      <c r="GN262" s="134"/>
      <c r="GO262" s="134"/>
      <c r="GP262" s="134"/>
      <c r="GQ262" s="134"/>
      <c r="GR262" s="134"/>
      <c r="GS262" s="134"/>
      <c r="GT262" s="134"/>
      <c r="GU262" s="134"/>
      <c r="GV262" s="134"/>
      <c r="GW262" s="134"/>
      <c r="GX262" s="134"/>
      <c r="GY262" s="134"/>
      <c r="GZ262" s="134"/>
      <c r="HA262" s="134"/>
      <c r="HB262" s="134"/>
      <c r="HC262" s="134"/>
      <c r="HD262" s="134"/>
      <c r="HE262" s="134"/>
      <c r="HF262" s="134"/>
      <c r="HG262" s="134"/>
      <c r="HH262" s="134"/>
      <c r="HI262" s="134"/>
      <c r="HJ262" s="134"/>
      <c r="HK262" s="134"/>
      <c r="HL262" s="134"/>
      <c r="HM262" s="134"/>
      <c r="HN262" s="134"/>
      <c r="HO262" s="134"/>
      <c r="HP262" s="134"/>
      <c r="HQ262" s="134"/>
      <c r="HR262" s="134"/>
      <c r="HS262" s="134"/>
      <c r="HT262" s="134"/>
      <c r="HU262" s="134"/>
      <c r="HV262" s="134"/>
      <c r="HW262" s="134"/>
      <c r="HX262" s="134"/>
      <c r="HY262" s="134"/>
      <c r="HZ262" s="134"/>
      <c r="IA262" s="134"/>
      <c r="IB262" s="134"/>
      <c r="IC262" s="134"/>
      <c r="ID262" s="134"/>
      <c r="IE262" s="134"/>
      <c r="IF262" s="134"/>
      <c r="IG262" s="134"/>
      <c r="IH262" s="134"/>
      <c r="II262" s="134"/>
      <c r="IJ262" s="134"/>
      <c r="IK262" s="134"/>
      <c r="IL262" s="134"/>
      <c r="IM262" s="134"/>
      <c r="IN262" s="134"/>
      <c r="IO262" s="134"/>
      <c r="IP262" s="134"/>
      <c r="IQ262" s="134"/>
      <c r="IR262" s="134"/>
      <c r="IS262" s="134"/>
      <c r="IT262" s="134"/>
      <c r="IU262" s="134"/>
    </row>
    <row r="263" spans="1:255" ht="120" x14ac:dyDescent="0.2">
      <c r="A263" s="236" t="str">
        <f>'HECVAT - Full'!A263</f>
        <v>VULN-05</v>
      </c>
      <c r="B263" s="236" t="str">
        <f>VLOOKUP(A263,'HECVAT - Full'!A$24:B$312,2,FALSE)</f>
        <v>Have your systems had an external vulnerability assessment in the last year?</v>
      </c>
      <c r="C263" s="269" t="s">
        <v>3043</v>
      </c>
      <c r="D263" s="272" t="s">
        <v>3038</v>
      </c>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34"/>
      <c r="BR263" s="134"/>
      <c r="BS263" s="134"/>
      <c r="BT263" s="134"/>
      <c r="BU263" s="134"/>
      <c r="BV263" s="134"/>
      <c r="BW263" s="134"/>
      <c r="BX263" s="134"/>
      <c r="BY263" s="134"/>
      <c r="BZ263" s="134"/>
      <c r="CA263" s="134"/>
      <c r="CB263" s="134"/>
      <c r="CC263" s="134"/>
      <c r="CD263" s="134"/>
      <c r="CE263" s="134"/>
      <c r="CF263" s="134"/>
      <c r="CG263" s="134"/>
      <c r="CH263" s="134"/>
      <c r="CI263" s="134"/>
      <c r="CJ263" s="134"/>
      <c r="CK263" s="134"/>
      <c r="CL263" s="134"/>
      <c r="CM263" s="134"/>
      <c r="CN263" s="134"/>
      <c r="CO263" s="134"/>
      <c r="CP263" s="134"/>
      <c r="CQ263" s="134"/>
      <c r="CR263" s="134"/>
      <c r="CS263" s="134"/>
      <c r="CT263" s="134"/>
      <c r="CU263" s="134"/>
      <c r="CV263" s="134"/>
      <c r="CW263" s="134"/>
      <c r="CX263" s="134"/>
      <c r="CY263" s="134"/>
      <c r="CZ263" s="134"/>
      <c r="DA263" s="134"/>
      <c r="DB263" s="134"/>
      <c r="DC263" s="134"/>
      <c r="DD263" s="134"/>
      <c r="DE263" s="134"/>
      <c r="DF263" s="134"/>
      <c r="DG263" s="134"/>
      <c r="DH263" s="134"/>
      <c r="DI263" s="134"/>
      <c r="DJ263" s="134"/>
      <c r="DK263" s="134"/>
      <c r="DL263" s="134"/>
      <c r="DM263" s="134"/>
      <c r="DN263" s="134"/>
      <c r="DO263" s="134"/>
      <c r="DP263" s="134"/>
      <c r="DQ263" s="134"/>
      <c r="DR263" s="134"/>
      <c r="DS263" s="134"/>
      <c r="DT263" s="134"/>
      <c r="DU263" s="134"/>
      <c r="DV263" s="134"/>
      <c r="DW263" s="134"/>
      <c r="DX263" s="134"/>
      <c r="DY263" s="134"/>
      <c r="DZ263" s="134"/>
      <c r="EA263" s="134"/>
      <c r="EB263" s="134"/>
      <c r="EC263" s="134"/>
      <c r="ED263" s="134"/>
      <c r="EE263" s="134"/>
      <c r="EF263" s="134"/>
      <c r="EG263" s="134"/>
      <c r="EH263" s="134"/>
      <c r="EI263" s="134"/>
      <c r="EJ263" s="134"/>
      <c r="EK263" s="134"/>
      <c r="EL263" s="134"/>
      <c r="EM263" s="134"/>
      <c r="EN263" s="134"/>
      <c r="EO263" s="134"/>
      <c r="EP263" s="134"/>
      <c r="EQ263" s="134"/>
      <c r="ER263" s="134"/>
      <c r="ES263" s="134"/>
      <c r="ET263" s="134"/>
      <c r="EU263" s="134"/>
      <c r="EV263" s="134"/>
      <c r="EW263" s="134"/>
      <c r="EX263" s="134"/>
      <c r="EY263" s="134"/>
      <c r="EZ263" s="134"/>
      <c r="FA263" s="134"/>
      <c r="FB263" s="134"/>
      <c r="FC263" s="134"/>
      <c r="FD263" s="134"/>
      <c r="FE263" s="134"/>
      <c r="FF263" s="134"/>
      <c r="FG263" s="134"/>
      <c r="FH263" s="134"/>
      <c r="FI263" s="134"/>
      <c r="FJ263" s="134"/>
      <c r="FK263" s="134"/>
      <c r="FL263" s="134"/>
      <c r="FM263" s="134"/>
      <c r="FN263" s="134"/>
      <c r="FO263" s="134"/>
      <c r="FP263" s="134"/>
      <c r="FQ263" s="134"/>
      <c r="FR263" s="134"/>
      <c r="FS263" s="134"/>
      <c r="FT263" s="134"/>
      <c r="FU263" s="134"/>
      <c r="FV263" s="134"/>
      <c r="FW263" s="134"/>
      <c r="FX263" s="134"/>
      <c r="FY263" s="134"/>
      <c r="FZ263" s="134"/>
      <c r="GA263" s="134"/>
      <c r="GB263" s="134"/>
      <c r="GC263" s="134"/>
      <c r="GD263" s="134"/>
      <c r="GE263" s="134"/>
      <c r="GF263" s="134"/>
      <c r="GG263" s="134"/>
      <c r="GH263" s="134"/>
      <c r="GI263" s="134"/>
      <c r="GJ263" s="134"/>
      <c r="GK263" s="134"/>
      <c r="GL263" s="134"/>
      <c r="GM263" s="134"/>
      <c r="GN263" s="134"/>
      <c r="GO263" s="134"/>
      <c r="GP263" s="134"/>
      <c r="GQ263" s="134"/>
      <c r="GR263" s="134"/>
      <c r="GS263" s="134"/>
      <c r="GT263" s="134"/>
      <c r="GU263" s="134"/>
      <c r="GV263" s="134"/>
      <c r="GW263" s="134"/>
      <c r="GX263" s="134"/>
      <c r="GY263" s="134"/>
      <c r="GZ263" s="134"/>
      <c r="HA263" s="134"/>
      <c r="HB263" s="134"/>
      <c r="HC263" s="134"/>
      <c r="HD263" s="134"/>
      <c r="HE263" s="134"/>
      <c r="HF263" s="134"/>
      <c r="HG263" s="134"/>
      <c r="HH263" s="134"/>
      <c r="HI263" s="134"/>
      <c r="HJ263" s="134"/>
      <c r="HK263" s="134"/>
      <c r="HL263" s="134"/>
      <c r="HM263" s="134"/>
      <c r="HN263" s="134"/>
      <c r="HO263" s="134"/>
      <c r="HP263" s="134"/>
      <c r="HQ263" s="134"/>
      <c r="HR263" s="134"/>
      <c r="HS263" s="134"/>
      <c r="HT263" s="134"/>
      <c r="HU263" s="134"/>
      <c r="HV263" s="134"/>
      <c r="HW263" s="134"/>
      <c r="HX263" s="134"/>
      <c r="HY263" s="134"/>
      <c r="HZ263" s="134"/>
      <c r="IA263" s="134"/>
      <c r="IB263" s="134"/>
      <c r="IC263" s="134"/>
      <c r="ID263" s="134"/>
      <c r="IE263" s="134"/>
      <c r="IF263" s="134"/>
      <c r="IG263" s="134"/>
      <c r="IH263" s="134"/>
      <c r="II263" s="134"/>
      <c r="IJ263" s="134"/>
      <c r="IK263" s="134"/>
      <c r="IL263" s="134"/>
      <c r="IM263" s="134"/>
      <c r="IN263" s="134"/>
      <c r="IO263" s="134"/>
      <c r="IP263" s="134"/>
      <c r="IQ263" s="134"/>
      <c r="IR263" s="134"/>
      <c r="IS263" s="134"/>
      <c r="IT263" s="134"/>
      <c r="IU263" s="134"/>
    </row>
    <row r="264" spans="1:255" ht="105" x14ac:dyDescent="0.2">
      <c r="A264" s="236" t="str">
        <f>'HECVAT - Full'!A264</f>
        <v>VULN-06</v>
      </c>
      <c r="B264" s="236" t="str">
        <f>VLOOKUP(A264,'HECVAT - Full'!A$24:B$312,2,FALSE)</f>
        <v>Describe or provide a reference to the tool(s) used to scan for vulnerabilities in your applications and systems.</v>
      </c>
      <c r="C264" s="237" t="s">
        <v>2966</v>
      </c>
      <c r="D264" s="265" t="s">
        <v>3044</v>
      </c>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c r="CZ264" s="134"/>
      <c r="DA264" s="134"/>
      <c r="DB264" s="134"/>
      <c r="DC264" s="134"/>
      <c r="DD264" s="134"/>
      <c r="DE264" s="134"/>
      <c r="DF264" s="134"/>
      <c r="DG264" s="134"/>
      <c r="DH264" s="134"/>
      <c r="DI264" s="134"/>
      <c r="DJ264" s="134"/>
      <c r="DK264" s="134"/>
      <c r="DL264" s="134"/>
      <c r="DM264" s="134"/>
      <c r="DN264" s="134"/>
      <c r="DO264" s="134"/>
      <c r="DP264" s="134"/>
      <c r="DQ264" s="134"/>
      <c r="DR264" s="134"/>
      <c r="DS264" s="134"/>
      <c r="DT264" s="134"/>
      <c r="DU264" s="134"/>
      <c r="DV264" s="134"/>
      <c r="DW264" s="134"/>
      <c r="DX264" s="134"/>
      <c r="DY264" s="134"/>
      <c r="DZ264" s="134"/>
      <c r="EA264" s="134"/>
      <c r="EB264" s="134"/>
      <c r="EC264" s="134"/>
      <c r="ED264" s="134"/>
      <c r="EE264" s="134"/>
      <c r="EF264" s="134"/>
      <c r="EG264" s="134"/>
      <c r="EH264" s="134"/>
      <c r="EI264" s="134"/>
      <c r="EJ264" s="134"/>
      <c r="EK264" s="134"/>
      <c r="EL264" s="134"/>
      <c r="EM264" s="134"/>
      <c r="EN264" s="134"/>
      <c r="EO264" s="134"/>
      <c r="EP264" s="134"/>
      <c r="EQ264" s="134"/>
      <c r="ER264" s="134"/>
      <c r="ES264" s="134"/>
      <c r="ET264" s="134"/>
      <c r="EU264" s="134"/>
      <c r="EV264" s="134"/>
      <c r="EW264" s="134"/>
      <c r="EX264" s="134"/>
      <c r="EY264" s="134"/>
      <c r="EZ264" s="134"/>
      <c r="FA264" s="134"/>
      <c r="FB264" s="134"/>
      <c r="FC264" s="134"/>
      <c r="FD264" s="134"/>
      <c r="FE264" s="134"/>
      <c r="FF264" s="134"/>
      <c r="FG264" s="134"/>
      <c r="FH264" s="134"/>
      <c r="FI264" s="134"/>
      <c r="FJ264" s="134"/>
      <c r="FK264" s="134"/>
      <c r="FL264" s="134"/>
      <c r="FM264" s="134"/>
      <c r="FN264" s="134"/>
      <c r="FO264" s="134"/>
      <c r="FP264" s="134"/>
      <c r="FQ264" s="134"/>
      <c r="FR264" s="134"/>
      <c r="FS264" s="134"/>
      <c r="FT264" s="134"/>
      <c r="FU264" s="134"/>
      <c r="FV264" s="134"/>
      <c r="FW264" s="134"/>
      <c r="FX264" s="134"/>
      <c r="FY264" s="134"/>
      <c r="FZ264" s="134"/>
      <c r="GA264" s="134"/>
      <c r="GB264" s="134"/>
      <c r="GC264" s="134"/>
      <c r="GD264" s="134"/>
      <c r="GE264" s="134"/>
      <c r="GF264" s="134"/>
      <c r="GG264" s="134"/>
      <c r="GH264" s="134"/>
      <c r="GI264" s="134"/>
      <c r="GJ264" s="134"/>
      <c r="GK264" s="134"/>
      <c r="GL264" s="134"/>
      <c r="GM264" s="134"/>
      <c r="GN264" s="134"/>
      <c r="GO264" s="134"/>
      <c r="GP264" s="134"/>
      <c r="GQ264" s="134"/>
      <c r="GR264" s="134"/>
      <c r="GS264" s="134"/>
      <c r="GT264" s="134"/>
      <c r="GU264" s="134"/>
      <c r="GV264" s="134"/>
      <c r="GW264" s="134"/>
      <c r="GX264" s="134"/>
      <c r="GY264" s="134"/>
      <c r="GZ264" s="134"/>
      <c r="HA264" s="134"/>
      <c r="HB264" s="134"/>
      <c r="HC264" s="134"/>
      <c r="HD264" s="134"/>
      <c r="HE264" s="134"/>
      <c r="HF264" s="134"/>
      <c r="HG264" s="134"/>
      <c r="HH264" s="134"/>
      <c r="HI264" s="134"/>
      <c r="HJ264" s="134"/>
      <c r="HK264" s="134"/>
      <c r="HL264" s="134"/>
      <c r="HM264" s="134"/>
      <c r="HN264" s="134"/>
      <c r="HO264" s="134"/>
      <c r="HP264" s="134"/>
      <c r="HQ264" s="134"/>
      <c r="HR264" s="134"/>
      <c r="HS264" s="134"/>
      <c r="HT264" s="134"/>
      <c r="HU264" s="134"/>
      <c r="HV264" s="134"/>
      <c r="HW264" s="134"/>
      <c r="HX264" s="134"/>
      <c r="HY264" s="134"/>
      <c r="HZ264" s="134"/>
      <c r="IA264" s="134"/>
      <c r="IB264" s="134"/>
      <c r="IC264" s="134"/>
      <c r="ID264" s="134"/>
      <c r="IE264" s="134"/>
      <c r="IF264" s="134"/>
      <c r="IG264" s="134"/>
      <c r="IH264" s="134"/>
      <c r="II264" s="134"/>
      <c r="IJ264" s="134"/>
      <c r="IK264" s="134"/>
      <c r="IL264" s="134"/>
      <c r="IM264" s="134"/>
      <c r="IN264" s="134"/>
      <c r="IO264" s="134"/>
      <c r="IP264" s="134"/>
      <c r="IQ264" s="134"/>
      <c r="IR264" s="134"/>
      <c r="IS264" s="134"/>
      <c r="IT264" s="134"/>
      <c r="IU264" s="134"/>
    </row>
    <row r="265" spans="1:255" ht="60" x14ac:dyDescent="0.2">
      <c r="A265" s="236" t="str">
        <f>'HECVAT - Full'!A265</f>
        <v>VULN-07</v>
      </c>
      <c r="B265" s="236" t="str">
        <f>VLOOKUP(A265,'HECVAT - Full'!A$24:B$312,2,FALSE)</f>
        <v>Will you provide results of security scans to the Institution?</v>
      </c>
      <c r="C265" s="265" t="s">
        <v>3045</v>
      </c>
      <c r="D265" s="247" t="s">
        <v>2967</v>
      </c>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c r="DG265" s="134"/>
      <c r="DH265" s="134"/>
      <c r="DI265" s="134"/>
      <c r="DJ265" s="134"/>
      <c r="DK265" s="134"/>
      <c r="DL265" s="134"/>
      <c r="DM265" s="134"/>
      <c r="DN265" s="134"/>
      <c r="DO265" s="134"/>
      <c r="DP265" s="134"/>
      <c r="DQ265" s="134"/>
      <c r="DR265" s="134"/>
      <c r="DS265" s="134"/>
      <c r="DT265" s="134"/>
      <c r="DU265" s="134"/>
      <c r="DV265" s="134"/>
      <c r="DW265" s="134"/>
      <c r="DX265" s="134"/>
      <c r="DY265" s="134"/>
      <c r="DZ265" s="134"/>
      <c r="EA265" s="134"/>
      <c r="EB265" s="134"/>
      <c r="EC265" s="134"/>
      <c r="ED265" s="134"/>
      <c r="EE265" s="134"/>
      <c r="EF265" s="134"/>
      <c r="EG265" s="134"/>
      <c r="EH265" s="134"/>
      <c r="EI265" s="134"/>
      <c r="EJ265" s="134"/>
      <c r="EK265" s="134"/>
      <c r="EL265" s="134"/>
      <c r="EM265" s="134"/>
      <c r="EN265" s="134"/>
      <c r="EO265" s="134"/>
      <c r="EP265" s="134"/>
      <c r="EQ265" s="134"/>
      <c r="ER265" s="134"/>
      <c r="ES265" s="134"/>
      <c r="ET265" s="134"/>
      <c r="EU265" s="134"/>
      <c r="EV265" s="134"/>
      <c r="EW265" s="134"/>
      <c r="EX265" s="134"/>
      <c r="EY265" s="134"/>
      <c r="EZ265" s="134"/>
      <c r="FA265" s="134"/>
      <c r="FB265" s="134"/>
      <c r="FC265" s="134"/>
      <c r="FD265" s="134"/>
      <c r="FE265" s="134"/>
      <c r="FF265" s="134"/>
      <c r="FG265" s="134"/>
      <c r="FH265" s="134"/>
      <c r="FI265" s="134"/>
      <c r="FJ265" s="134"/>
      <c r="FK265" s="134"/>
      <c r="FL265" s="134"/>
      <c r="FM265" s="134"/>
      <c r="FN265" s="134"/>
      <c r="FO265" s="134"/>
      <c r="FP265" s="134"/>
      <c r="FQ265" s="134"/>
      <c r="FR265" s="134"/>
      <c r="FS265" s="134"/>
      <c r="FT265" s="134"/>
      <c r="FU265" s="134"/>
      <c r="FV265" s="134"/>
      <c r="FW265" s="134"/>
      <c r="FX265" s="134"/>
      <c r="FY265" s="134"/>
      <c r="FZ265" s="134"/>
      <c r="GA265" s="134"/>
      <c r="GB265" s="134"/>
      <c r="GC265" s="134"/>
      <c r="GD265" s="134"/>
      <c r="GE265" s="134"/>
      <c r="GF265" s="134"/>
      <c r="GG265" s="134"/>
      <c r="GH265" s="134"/>
      <c r="GI265" s="134"/>
      <c r="GJ265" s="134"/>
      <c r="GK265" s="134"/>
      <c r="GL265" s="134"/>
      <c r="GM265" s="134"/>
      <c r="GN265" s="134"/>
      <c r="GO265" s="134"/>
      <c r="GP265" s="134"/>
      <c r="GQ265" s="134"/>
      <c r="GR265" s="134"/>
      <c r="GS265" s="134"/>
      <c r="GT265" s="134"/>
      <c r="GU265" s="134"/>
      <c r="GV265" s="134"/>
      <c r="GW265" s="134"/>
      <c r="GX265" s="134"/>
      <c r="GY265" s="134"/>
      <c r="GZ265" s="134"/>
      <c r="HA265" s="134"/>
      <c r="HB265" s="134"/>
      <c r="HC265" s="134"/>
      <c r="HD265" s="134"/>
      <c r="HE265" s="134"/>
      <c r="HF265" s="134"/>
      <c r="HG265" s="134"/>
      <c r="HH265" s="134"/>
      <c r="HI265" s="134"/>
      <c r="HJ265" s="134"/>
      <c r="HK265" s="134"/>
      <c r="HL265" s="134"/>
      <c r="HM265" s="134"/>
      <c r="HN265" s="134"/>
      <c r="HO265" s="134"/>
      <c r="HP265" s="134"/>
      <c r="HQ265" s="134"/>
      <c r="HR265" s="134"/>
      <c r="HS265" s="134"/>
      <c r="HT265" s="134"/>
      <c r="HU265" s="134"/>
      <c r="HV265" s="134"/>
      <c r="HW265" s="134"/>
      <c r="HX265" s="134"/>
      <c r="HY265" s="134"/>
      <c r="HZ265" s="134"/>
      <c r="IA265" s="134"/>
      <c r="IB265" s="134"/>
      <c r="IC265" s="134"/>
      <c r="ID265" s="134"/>
      <c r="IE265" s="134"/>
      <c r="IF265" s="134"/>
      <c r="IG265" s="134"/>
      <c r="IH265" s="134"/>
      <c r="II265" s="134"/>
      <c r="IJ265" s="134"/>
      <c r="IK265" s="134"/>
      <c r="IL265" s="134"/>
      <c r="IM265" s="134"/>
      <c r="IN265" s="134"/>
      <c r="IO265" s="134"/>
      <c r="IP265" s="134"/>
      <c r="IQ265" s="134"/>
      <c r="IR265" s="134"/>
      <c r="IS265" s="134"/>
      <c r="IT265" s="134"/>
      <c r="IU265" s="134"/>
    </row>
    <row r="266" spans="1:255" ht="135" x14ac:dyDescent="0.2">
      <c r="A266" s="236" t="str">
        <f>'HECVAT - Full'!A266</f>
        <v>VULN-08</v>
      </c>
      <c r="B266" s="236" t="str">
        <f>VLOOKUP(A266,'HECVAT - Full'!A$24:B$312,2,FALSE)</f>
        <v>Describe or provide a reference to how you monitor for and protect against common web application security vulnerabilities (e.g. SQL injection, XSS, XSRF, etc.).</v>
      </c>
      <c r="C266" s="269" t="s">
        <v>3046</v>
      </c>
      <c r="D266" s="242" t="s">
        <v>2968</v>
      </c>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c r="CZ266" s="134"/>
      <c r="DA266" s="134"/>
      <c r="DB266" s="134"/>
      <c r="DC266" s="134"/>
      <c r="DD266" s="134"/>
      <c r="DE266" s="134"/>
      <c r="DF266" s="134"/>
      <c r="DG266" s="134"/>
      <c r="DH266" s="134"/>
      <c r="DI266" s="134"/>
      <c r="DJ266" s="134"/>
      <c r="DK266" s="134"/>
      <c r="DL266" s="134"/>
      <c r="DM266" s="134"/>
      <c r="DN266" s="134"/>
      <c r="DO266" s="134"/>
      <c r="DP266" s="134"/>
      <c r="DQ266" s="134"/>
      <c r="DR266" s="134"/>
      <c r="DS266" s="134"/>
      <c r="DT266" s="134"/>
      <c r="DU266" s="134"/>
      <c r="DV266" s="134"/>
      <c r="DW266" s="134"/>
      <c r="DX266" s="134"/>
      <c r="DY266" s="134"/>
      <c r="DZ266" s="134"/>
      <c r="EA266" s="134"/>
      <c r="EB266" s="134"/>
      <c r="EC266" s="134"/>
      <c r="ED266" s="134"/>
      <c r="EE266" s="134"/>
      <c r="EF266" s="134"/>
      <c r="EG266" s="134"/>
      <c r="EH266" s="134"/>
      <c r="EI266" s="134"/>
      <c r="EJ266" s="134"/>
      <c r="EK266" s="134"/>
      <c r="EL266" s="134"/>
      <c r="EM266" s="134"/>
      <c r="EN266" s="134"/>
      <c r="EO266" s="134"/>
      <c r="EP266" s="134"/>
      <c r="EQ266" s="134"/>
      <c r="ER266" s="134"/>
      <c r="ES266" s="134"/>
      <c r="ET266" s="134"/>
      <c r="EU266" s="134"/>
      <c r="EV266" s="134"/>
      <c r="EW266" s="134"/>
      <c r="EX266" s="134"/>
      <c r="EY266" s="134"/>
      <c r="EZ266" s="134"/>
      <c r="FA266" s="134"/>
      <c r="FB266" s="134"/>
      <c r="FC266" s="134"/>
      <c r="FD266" s="134"/>
      <c r="FE266" s="134"/>
      <c r="FF266" s="134"/>
      <c r="FG266" s="134"/>
      <c r="FH266" s="134"/>
      <c r="FI266" s="134"/>
      <c r="FJ266" s="134"/>
      <c r="FK266" s="134"/>
      <c r="FL266" s="134"/>
      <c r="FM266" s="134"/>
      <c r="FN266" s="134"/>
      <c r="FO266" s="134"/>
      <c r="FP266" s="134"/>
      <c r="FQ266" s="134"/>
      <c r="FR266" s="134"/>
      <c r="FS266" s="134"/>
      <c r="FT266" s="134"/>
      <c r="FU266" s="134"/>
      <c r="FV266" s="134"/>
      <c r="FW266" s="134"/>
      <c r="FX266" s="134"/>
      <c r="FY266" s="134"/>
      <c r="FZ266" s="134"/>
      <c r="GA266" s="134"/>
      <c r="GB266" s="134"/>
      <c r="GC266" s="134"/>
      <c r="GD266" s="134"/>
      <c r="GE266" s="134"/>
      <c r="GF266" s="134"/>
      <c r="GG266" s="134"/>
      <c r="GH266" s="134"/>
      <c r="GI266" s="134"/>
      <c r="GJ266" s="134"/>
      <c r="GK266" s="134"/>
      <c r="GL266" s="134"/>
      <c r="GM266" s="134"/>
      <c r="GN266" s="134"/>
      <c r="GO266" s="134"/>
      <c r="GP266" s="134"/>
      <c r="GQ266" s="134"/>
      <c r="GR266" s="134"/>
      <c r="GS266" s="134"/>
      <c r="GT266" s="134"/>
      <c r="GU266" s="134"/>
      <c r="GV266" s="134"/>
      <c r="GW266" s="134"/>
      <c r="GX266" s="134"/>
      <c r="GY266" s="134"/>
      <c r="GZ266" s="134"/>
      <c r="HA266" s="134"/>
      <c r="HB266" s="134"/>
      <c r="HC266" s="134"/>
      <c r="HD266" s="134"/>
      <c r="HE266" s="134"/>
      <c r="HF266" s="134"/>
      <c r="HG266" s="134"/>
      <c r="HH266" s="134"/>
      <c r="HI266" s="134"/>
      <c r="HJ266" s="134"/>
      <c r="HK266" s="134"/>
      <c r="HL266" s="134"/>
      <c r="HM266" s="134"/>
      <c r="HN266" s="134"/>
      <c r="HO266" s="134"/>
      <c r="HP266" s="134"/>
      <c r="HQ266" s="134"/>
      <c r="HR266" s="134"/>
      <c r="HS266" s="134"/>
      <c r="HT266" s="134"/>
      <c r="HU266" s="134"/>
      <c r="HV266" s="134"/>
      <c r="HW266" s="134"/>
      <c r="HX266" s="134"/>
      <c r="HY266" s="134"/>
      <c r="HZ266" s="134"/>
      <c r="IA266" s="134"/>
      <c r="IB266" s="134"/>
      <c r="IC266" s="134"/>
      <c r="ID266" s="134"/>
      <c r="IE266" s="134"/>
      <c r="IF266" s="134"/>
      <c r="IG266" s="134"/>
      <c r="IH266" s="134"/>
      <c r="II266" s="134"/>
      <c r="IJ266" s="134"/>
      <c r="IK266" s="134"/>
      <c r="IL266" s="134"/>
      <c r="IM266" s="134"/>
      <c r="IN266" s="134"/>
      <c r="IO266" s="134"/>
      <c r="IP266" s="134"/>
      <c r="IQ266" s="134"/>
      <c r="IR266" s="134"/>
      <c r="IS266" s="134"/>
      <c r="IT266" s="134"/>
      <c r="IU266" s="134"/>
    </row>
    <row r="267" spans="1:255" ht="75.75" customHeight="1" x14ac:dyDescent="0.2">
      <c r="A267" s="236" t="str">
        <f>'HECVAT - Full'!A267</f>
        <v>VULN-09</v>
      </c>
      <c r="B267" s="236" t="str">
        <f>VLOOKUP(A267,'HECVAT - Full'!A$24:B$312,2,FALSE)</f>
        <v>Will you allow the institution to perform its own security testing of your systems and/or application provided that testing is performed at a mutually agreed upon time and date?</v>
      </c>
      <c r="C267" s="237" t="s">
        <v>2969</v>
      </c>
      <c r="D267" s="247" t="s">
        <v>2970</v>
      </c>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c r="CZ267" s="134"/>
      <c r="DA267" s="134"/>
      <c r="DB267" s="134"/>
      <c r="DC267" s="134"/>
      <c r="DD267" s="134"/>
      <c r="DE267" s="134"/>
      <c r="DF267" s="134"/>
      <c r="DG267" s="134"/>
      <c r="DH267" s="134"/>
      <c r="DI267" s="134"/>
      <c r="DJ267" s="134"/>
      <c r="DK267" s="134"/>
      <c r="DL267" s="134"/>
      <c r="DM267" s="134"/>
      <c r="DN267" s="134"/>
      <c r="DO267" s="134"/>
      <c r="DP267" s="134"/>
      <c r="DQ267" s="134"/>
      <c r="DR267" s="134"/>
      <c r="DS267" s="134"/>
      <c r="DT267" s="134"/>
      <c r="DU267" s="134"/>
      <c r="DV267" s="134"/>
      <c r="DW267" s="134"/>
      <c r="DX267" s="134"/>
      <c r="DY267" s="134"/>
      <c r="DZ267" s="134"/>
      <c r="EA267" s="134"/>
      <c r="EB267" s="134"/>
      <c r="EC267" s="134"/>
      <c r="ED267" s="134"/>
      <c r="EE267" s="134"/>
      <c r="EF267" s="134"/>
      <c r="EG267" s="134"/>
      <c r="EH267" s="134"/>
      <c r="EI267" s="134"/>
      <c r="EJ267" s="134"/>
      <c r="EK267" s="134"/>
      <c r="EL267" s="134"/>
      <c r="EM267" s="134"/>
      <c r="EN267" s="134"/>
      <c r="EO267" s="134"/>
      <c r="EP267" s="134"/>
      <c r="EQ267" s="134"/>
      <c r="ER267" s="134"/>
      <c r="ES267" s="134"/>
      <c r="ET267" s="134"/>
      <c r="EU267" s="134"/>
      <c r="EV267" s="134"/>
      <c r="EW267" s="134"/>
      <c r="EX267" s="134"/>
      <c r="EY267" s="134"/>
      <c r="EZ267" s="134"/>
      <c r="FA267" s="134"/>
      <c r="FB267" s="134"/>
      <c r="FC267" s="134"/>
      <c r="FD267" s="134"/>
      <c r="FE267" s="134"/>
      <c r="FF267" s="134"/>
      <c r="FG267" s="134"/>
      <c r="FH267" s="134"/>
      <c r="FI267" s="134"/>
      <c r="FJ267" s="134"/>
      <c r="FK267" s="134"/>
      <c r="FL267" s="134"/>
      <c r="FM267" s="134"/>
      <c r="FN267" s="134"/>
      <c r="FO267" s="134"/>
      <c r="FP267" s="134"/>
      <c r="FQ267" s="134"/>
      <c r="FR267" s="134"/>
      <c r="FS267" s="134"/>
      <c r="FT267" s="134"/>
      <c r="FU267" s="134"/>
      <c r="FV267" s="134"/>
      <c r="FW267" s="134"/>
      <c r="FX267" s="134"/>
      <c r="FY267" s="134"/>
      <c r="FZ267" s="134"/>
      <c r="GA267" s="134"/>
      <c r="GB267" s="134"/>
      <c r="GC267" s="134"/>
      <c r="GD267" s="134"/>
      <c r="GE267" s="134"/>
      <c r="GF267" s="134"/>
      <c r="GG267" s="134"/>
      <c r="GH267" s="134"/>
      <c r="GI267" s="134"/>
      <c r="GJ267" s="134"/>
      <c r="GK267" s="134"/>
      <c r="GL267" s="134"/>
      <c r="GM267" s="134"/>
      <c r="GN267" s="134"/>
      <c r="GO267" s="134"/>
      <c r="GP267" s="134"/>
      <c r="GQ267" s="134"/>
      <c r="GR267" s="134"/>
      <c r="GS267" s="134"/>
      <c r="GT267" s="134"/>
      <c r="GU267" s="134"/>
      <c r="GV267" s="134"/>
      <c r="GW267" s="134"/>
      <c r="GX267" s="134"/>
      <c r="GY267" s="134"/>
      <c r="GZ267" s="134"/>
      <c r="HA267" s="134"/>
      <c r="HB267" s="134"/>
      <c r="HC267" s="134"/>
      <c r="HD267" s="134"/>
      <c r="HE267" s="134"/>
      <c r="HF267" s="134"/>
      <c r="HG267" s="134"/>
      <c r="HH267" s="134"/>
      <c r="HI267" s="134"/>
      <c r="HJ267" s="134"/>
      <c r="HK267" s="134"/>
      <c r="HL267" s="134"/>
      <c r="HM267" s="134"/>
      <c r="HN267" s="134"/>
      <c r="HO267" s="134"/>
      <c r="HP267" s="134"/>
      <c r="HQ267" s="134"/>
      <c r="HR267" s="134"/>
      <c r="HS267" s="134"/>
      <c r="HT267" s="134"/>
      <c r="HU267" s="134"/>
      <c r="HV267" s="134"/>
      <c r="HW267" s="134"/>
      <c r="HX267" s="134"/>
      <c r="HY267" s="134"/>
      <c r="HZ267" s="134"/>
      <c r="IA267" s="134"/>
      <c r="IB267" s="134"/>
      <c r="IC267" s="134"/>
      <c r="ID267" s="134"/>
      <c r="IE267" s="134"/>
      <c r="IF267" s="134"/>
      <c r="IG267" s="134"/>
      <c r="IH267" s="134"/>
      <c r="II267" s="134"/>
      <c r="IJ267" s="134"/>
      <c r="IK267" s="134"/>
      <c r="IL267" s="134"/>
      <c r="IM267" s="134"/>
      <c r="IN267" s="134"/>
      <c r="IO267" s="134"/>
      <c r="IP267" s="134"/>
      <c r="IQ267" s="134"/>
      <c r="IR267" s="134"/>
      <c r="IS267" s="134"/>
      <c r="IT267" s="134"/>
      <c r="IU267" s="134"/>
    </row>
    <row r="268" spans="1:255" ht="36" customHeight="1" x14ac:dyDescent="0.2">
      <c r="A268" s="341" t="str">
        <f>IF(OR($C$24="No",$C$30="Yes"),"HIPAA - Optional based on QUALIFIER response.","HIPAA")</f>
        <v>HIPAA</v>
      </c>
      <c r="B268" s="341"/>
      <c r="C268" s="234" t="str">
        <f>$C$22</f>
        <v>Reason for Question</v>
      </c>
      <c r="D268" s="234" t="str">
        <f>$D$22</f>
        <v>Follow-up Inquiries/Responses</v>
      </c>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c r="DG268" s="134"/>
      <c r="DH268" s="134"/>
      <c r="DI268" s="134"/>
      <c r="DJ268" s="134"/>
      <c r="DK268" s="134"/>
      <c r="DL268" s="134"/>
      <c r="DM268" s="134"/>
      <c r="DN268" s="134"/>
      <c r="DO268" s="134"/>
      <c r="DP268" s="134"/>
      <c r="DQ268" s="134"/>
      <c r="DR268" s="134"/>
      <c r="DS268" s="134"/>
      <c r="DT268" s="134"/>
      <c r="DU268" s="134"/>
      <c r="DV268" s="134"/>
      <c r="DW268" s="134"/>
      <c r="DX268" s="134"/>
      <c r="DY268" s="134"/>
      <c r="DZ268" s="134"/>
      <c r="EA268" s="134"/>
      <c r="EB268" s="134"/>
      <c r="EC268" s="134"/>
      <c r="ED268" s="134"/>
      <c r="EE268" s="134"/>
      <c r="EF268" s="134"/>
      <c r="EG268" s="134"/>
      <c r="EH268" s="134"/>
      <c r="EI268" s="134"/>
      <c r="EJ268" s="134"/>
      <c r="EK268" s="134"/>
      <c r="EL268" s="134"/>
      <c r="EM268" s="134"/>
      <c r="EN268" s="134"/>
      <c r="EO268" s="134"/>
      <c r="EP268" s="134"/>
      <c r="EQ268" s="134"/>
      <c r="ER268" s="134"/>
      <c r="ES268" s="134"/>
      <c r="ET268" s="134"/>
      <c r="EU268" s="134"/>
      <c r="EV268" s="134"/>
      <c r="EW268" s="134"/>
      <c r="EX268" s="134"/>
      <c r="EY268" s="134"/>
      <c r="EZ268" s="134"/>
      <c r="FA268" s="134"/>
      <c r="FB268" s="134"/>
      <c r="FC268" s="134"/>
      <c r="FD268" s="134"/>
      <c r="FE268" s="134"/>
      <c r="FF268" s="134"/>
      <c r="FG268" s="134"/>
      <c r="FH268" s="134"/>
      <c r="FI268" s="134"/>
      <c r="FJ268" s="134"/>
      <c r="FK268" s="134"/>
      <c r="FL268" s="134"/>
      <c r="FM268" s="134"/>
      <c r="FN268" s="134"/>
      <c r="FO268" s="134"/>
      <c r="FP268" s="134"/>
      <c r="FQ268" s="134"/>
      <c r="FR268" s="134"/>
      <c r="FS268" s="134"/>
      <c r="FT268" s="134"/>
      <c r="FU268" s="134"/>
      <c r="FV268" s="134"/>
      <c r="FW268" s="134"/>
      <c r="FX268" s="134"/>
      <c r="FY268" s="134"/>
      <c r="FZ268" s="134"/>
      <c r="GA268" s="134"/>
      <c r="GB268" s="134"/>
      <c r="GC268" s="134"/>
      <c r="GD268" s="134"/>
      <c r="GE268" s="134"/>
      <c r="GF268" s="134"/>
      <c r="GG268" s="134"/>
      <c r="GH268" s="134"/>
      <c r="GI268" s="134"/>
      <c r="GJ268" s="134"/>
      <c r="GK268" s="134"/>
      <c r="GL268" s="134"/>
      <c r="GM268" s="134"/>
      <c r="GN268" s="134"/>
      <c r="GO268" s="134"/>
      <c r="GP268" s="134"/>
      <c r="GQ268" s="134"/>
      <c r="GR268" s="134"/>
      <c r="GS268" s="134"/>
      <c r="GT268" s="134"/>
      <c r="GU268" s="134"/>
      <c r="GV268" s="134"/>
      <c r="GW268" s="134"/>
      <c r="GX268" s="134"/>
      <c r="GY268" s="134"/>
      <c r="GZ268" s="134"/>
      <c r="HA268" s="134"/>
      <c r="HB268" s="134"/>
      <c r="HC268" s="134"/>
      <c r="HD268" s="134"/>
      <c r="HE268" s="134"/>
      <c r="HF268" s="134"/>
      <c r="HG268" s="134"/>
      <c r="HH268" s="134"/>
      <c r="HI268" s="134"/>
      <c r="HJ268" s="134"/>
      <c r="HK268" s="134"/>
      <c r="HL268" s="134"/>
      <c r="HM268" s="134"/>
      <c r="HN268" s="134"/>
      <c r="HO268" s="134"/>
      <c r="HP268" s="134"/>
      <c r="HQ268" s="134"/>
      <c r="HR268" s="134"/>
      <c r="HS268" s="134"/>
      <c r="HT268" s="134"/>
      <c r="HU268" s="134"/>
      <c r="HV268" s="134"/>
      <c r="HW268" s="134"/>
      <c r="HX268" s="134"/>
      <c r="HY268" s="134"/>
      <c r="HZ268" s="134"/>
      <c r="IA268" s="134"/>
      <c r="IB268" s="134"/>
      <c r="IC268" s="134"/>
      <c r="ID268" s="134"/>
      <c r="IE268" s="134"/>
      <c r="IF268" s="134"/>
      <c r="IG268" s="134"/>
      <c r="IH268" s="134"/>
      <c r="II268" s="134"/>
      <c r="IJ268" s="134"/>
      <c r="IK268" s="134"/>
      <c r="IL268" s="134"/>
      <c r="IM268" s="134"/>
      <c r="IN268" s="134"/>
      <c r="IO268" s="134"/>
      <c r="IP268" s="134"/>
      <c r="IQ268" s="134"/>
      <c r="IR268" s="134"/>
      <c r="IS268" s="134"/>
      <c r="IT268" s="134"/>
      <c r="IU268" s="134"/>
    </row>
    <row r="269" spans="1:255" ht="65" customHeight="1" x14ac:dyDescent="0.2">
      <c r="A269" s="236" t="str">
        <f>'HECVAT - Full'!A269</f>
        <v>HIPA-01</v>
      </c>
      <c r="B269" s="236" t="str">
        <f>VLOOKUP(A269,'HECVAT - Full'!A$24:B$312,2,FALSE)</f>
        <v>Do your workforce members receive regular training related to the HIPAA Privacy and Security Rules and the HITECH Act?</v>
      </c>
      <c r="C269" s="237" t="s">
        <v>600</v>
      </c>
      <c r="D269" s="247" t="s">
        <v>2971</v>
      </c>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c r="CZ269" s="134"/>
      <c r="DA269" s="134"/>
      <c r="DB269" s="134"/>
      <c r="DC269" s="134"/>
      <c r="DD269" s="134"/>
      <c r="DE269" s="134"/>
      <c r="DF269" s="134"/>
      <c r="DG269" s="134"/>
      <c r="DH269" s="134"/>
      <c r="DI269" s="134"/>
      <c r="DJ269" s="134"/>
      <c r="DK269" s="134"/>
      <c r="DL269" s="134"/>
      <c r="DM269" s="134"/>
      <c r="DN269" s="134"/>
      <c r="DO269" s="134"/>
      <c r="DP269" s="134"/>
      <c r="DQ269" s="134"/>
      <c r="DR269" s="134"/>
      <c r="DS269" s="134"/>
      <c r="DT269" s="134"/>
      <c r="DU269" s="134"/>
      <c r="DV269" s="134"/>
      <c r="DW269" s="134"/>
      <c r="DX269" s="134"/>
      <c r="DY269" s="134"/>
      <c r="DZ269" s="134"/>
      <c r="EA269" s="134"/>
      <c r="EB269" s="134"/>
      <c r="EC269" s="134"/>
      <c r="ED269" s="134"/>
      <c r="EE269" s="134"/>
      <c r="EF269" s="134"/>
      <c r="EG269" s="134"/>
      <c r="EH269" s="134"/>
      <c r="EI269" s="134"/>
      <c r="EJ269" s="134"/>
      <c r="EK269" s="134"/>
      <c r="EL269" s="134"/>
      <c r="EM269" s="134"/>
      <c r="EN269" s="134"/>
      <c r="EO269" s="134"/>
      <c r="EP269" s="134"/>
      <c r="EQ269" s="134"/>
      <c r="ER269" s="134"/>
      <c r="ES269" s="134"/>
      <c r="ET269" s="134"/>
      <c r="EU269" s="134"/>
      <c r="EV269" s="134"/>
      <c r="EW269" s="134"/>
      <c r="EX269" s="134"/>
      <c r="EY269" s="134"/>
      <c r="EZ269" s="134"/>
      <c r="FA269" s="134"/>
      <c r="FB269" s="134"/>
      <c r="FC269" s="134"/>
      <c r="FD269" s="134"/>
      <c r="FE269" s="134"/>
      <c r="FF269" s="134"/>
      <c r="FG269" s="134"/>
      <c r="FH269" s="134"/>
      <c r="FI269" s="134"/>
      <c r="FJ269" s="134"/>
      <c r="FK269" s="134"/>
      <c r="FL269" s="134"/>
      <c r="FM269" s="134"/>
      <c r="FN269" s="134"/>
      <c r="FO269" s="134"/>
      <c r="FP269" s="134"/>
      <c r="FQ269" s="134"/>
      <c r="FR269" s="134"/>
      <c r="FS269" s="134"/>
      <c r="FT269" s="134"/>
      <c r="FU269" s="134"/>
      <c r="FV269" s="134"/>
      <c r="FW269" s="134"/>
      <c r="FX269" s="134"/>
      <c r="FY269" s="134"/>
      <c r="FZ269" s="134"/>
      <c r="GA269" s="134"/>
      <c r="GB269" s="134"/>
      <c r="GC269" s="134"/>
      <c r="GD269" s="134"/>
      <c r="GE269" s="134"/>
      <c r="GF269" s="134"/>
      <c r="GG269" s="134"/>
      <c r="GH269" s="134"/>
      <c r="GI269" s="134"/>
      <c r="GJ269" s="134"/>
      <c r="GK269" s="134"/>
      <c r="GL269" s="134"/>
      <c r="GM269" s="134"/>
      <c r="GN269" s="134"/>
      <c r="GO269" s="134"/>
      <c r="GP269" s="134"/>
      <c r="GQ269" s="134"/>
      <c r="GR269" s="134"/>
      <c r="GS269" s="134"/>
      <c r="GT269" s="134"/>
      <c r="GU269" s="134"/>
      <c r="GV269" s="134"/>
      <c r="GW269" s="134"/>
      <c r="GX269" s="134"/>
      <c r="GY269" s="134"/>
      <c r="GZ269" s="134"/>
      <c r="HA269" s="134"/>
      <c r="HB269" s="134"/>
      <c r="HC269" s="134"/>
      <c r="HD269" s="134"/>
      <c r="HE269" s="134"/>
      <c r="HF269" s="134"/>
      <c r="HG269" s="134"/>
      <c r="HH269" s="134"/>
      <c r="HI269" s="134"/>
      <c r="HJ269" s="134"/>
      <c r="HK269" s="134"/>
      <c r="HL269" s="134"/>
      <c r="HM269" s="134"/>
      <c r="HN269" s="134"/>
      <c r="HO269" s="134"/>
      <c r="HP269" s="134"/>
      <c r="HQ269" s="134"/>
      <c r="HR269" s="134"/>
      <c r="HS269" s="134"/>
      <c r="HT269" s="134"/>
      <c r="HU269" s="134"/>
      <c r="HV269" s="134"/>
      <c r="HW269" s="134"/>
      <c r="HX269" s="134"/>
      <c r="HY269" s="134"/>
      <c r="HZ269" s="134"/>
      <c r="IA269" s="134"/>
      <c r="IB269" s="134"/>
      <c r="IC269" s="134"/>
      <c r="ID269" s="134"/>
      <c r="IE269" s="134"/>
      <c r="IF269" s="134"/>
      <c r="IG269" s="134"/>
      <c r="IH269" s="134"/>
      <c r="II269" s="134"/>
      <c r="IJ269" s="134"/>
      <c r="IK269" s="134"/>
      <c r="IL269" s="134"/>
      <c r="IM269" s="134"/>
      <c r="IN269" s="134"/>
      <c r="IO269" s="134"/>
      <c r="IP269" s="134"/>
      <c r="IQ269" s="134"/>
      <c r="IR269" s="134"/>
      <c r="IS269" s="134"/>
      <c r="IT269" s="134"/>
      <c r="IU269" s="134"/>
    </row>
    <row r="270" spans="1:255" ht="48" customHeight="1" x14ac:dyDescent="0.2">
      <c r="A270" s="236" t="str">
        <f>'HECVAT - Full'!A270</f>
        <v>HIPA-02</v>
      </c>
      <c r="B270" s="236" t="str">
        <f>VLOOKUP(A270,'HECVAT - Full'!A$24:B$312,2,FALSE)</f>
        <v>Do you monitor or receive information regarding changes in HIPAA regulations?</v>
      </c>
      <c r="C270" s="237" t="s">
        <v>601</v>
      </c>
      <c r="D270" s="247" t="s">
        <v>2971</v>
      </c>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c r="CZ270" s="134"/>
      <c r="DA270" s="134"/>
      <c r="DB270" s="134"/>
      <c r="DC270" s="134"/>
      <c r="DD270" s="134"/>
      <c r="DE270" s="134"/>
      <c r="DF270" s="134"/>
      <c r="DG270" s="134"/>
      <c r="DH270" s="134"/>
      <c r="DI270" s="134"/>
      <c r="DJ270" s="134"/>
      <c r="DK270" s="134"/>
      <c r="DL270" s="134"/>
      <c r="DM270" s="134"/>
      <c r="DN270" s="134"/>
      <c r="DO270" s="134"/>
      <c r="DP270" s="134"/>
      <c r="DQ270" s="134"/>
      <c r="DR270" s="134"/>
      <c r="DS270" s="134"/>
      <c r="DT270" s="134"/>
      <c r="DU270" s="134"/>
      <c r="DV270" s="134"/>
      <c r="DW270" s="134"/>
      <c r="DX270" s="134"/>
      <c r="DY270" s="134"/>
      <c r="DZ270" s="134"/>
      <c r="EA270" s="134"/>
      <c r="EB270" s="134"/>
      <c r="EC270" s="134"/>
      <c r="ED270" s="134"/>
      <c r="EE270" s="134"/>
      <c r="EF270" s="134"/>
      <c r="EG270" s="134"/>
      <c r="EH270" s="134"/>
      <c r="EI270" s="134"/>
      <c r="EJ270" s="134"/>
      <c r="EK270" s="134"/>
      <c r="EL270" s="134"/>
      <c r="EM270" s="134"/>
      <c r="EN270" s="134"/>
      <c r="EO270" s="134"/>
      <c r="EP270" s="134"/>
      <c r="EQ270" s="134"/>
      <c r="ER270" s="134"/>
      <c r="ES270" s="134"/>
      <c r="ET270" s="134"/>
      <c r="EU270" s="134"/>
      <c r="EV270" s="134"/>
      <c r="EW270" s="134"/>
      <c r="EX270" s="134"/>
      <c r="EY270" s="134"/>
      <c r="EZ270" s="134"/>
      <c r="FA270" s="134"/>
      <c r="FB270" s="134"/>
      <c r="FC270" s="134"/>
      <c r="FD270" s="134"/>
      <c r="FE270" s="134"/>
      <c r="FF270" s="134"/>
      <c r="FG270" s="134"/>
      <c r="FH270" s="134"/>
      <c r="FI270" s="134"/>
      <c r="FJ270" s="134"/>
      <c r="FK270" s="134"/>
      <c r="FL270" s="134"/>
      <c r="FM270" s="134"/>
      <c r="FN270" s="134"/>
      <c r="FO270" s="134"/>
      <c r="FP270" s="134"/>
      <c r="FQ270" s="134"/>
      <c r="FR270" s="134"/>
      <c r="FS270" s="134"/>
      <c r="FT270" s="134"/>
      <c r="FU270" s="134"/>
      <c r="FV270" s="134"/>
      <c r="FW270" s="134"/>
      <c r="FX270" s="134"/>
      <c r="FY270" s="134"/>
      <c r="FZ270" s="134"/>
      <c r="GA270" s="134"/>
      <c r="GB270" s="134"/>
      <c r="GC270" s="134"/>
      <c r="GD270" s="134"/>
      <c r="GE270" s="134"/>
      <c r="GF270" s="134"/>
      <c r="GG270" s="134"/>
      <c r="GH270" s="134"/>
      <c r="GI270" s="134"/>
      <c r="GJ270" s="134"/>
      <c r="GK270" s="134"/>
      <c r="GL270" s="134"/>
      <c r="GM270" s="134"/>
      <c r="GN270" s="134"/>
      <c r="GO270" s="134"/>
      <c r="GP270" s="134"/>
      <c r="GQ270" s="134"/>
      <c r="GR270" s="134"/>
      <c r="GS270" s="134"/>
      <c r="GT270" s="134"/>
      <c r="GU270" s="134"/>
      <c r="GV270" s="134"/>
      <c r="GW270" s="134"/>
      <c r="GX270" s="134"/>
      <c r="GY270" s="134"/>
      <c r="GZ270" s="134"/>
      <c r="HA270" s="134"/>
      <c r="HB270" s="134"/>
      <c r="HC270" s="134"/>
      <c r="HD270" s="134"/>
      <c r="HE270" s="134"/>
      <c r="HF270" s="134"/>
      <c r="HG270" s="134"/>
      <c r="HH270" s="134"/>
      <c r="HI270" s="134"/>
      <c r="HJ270" s="134"/>
      <c r="HK270" s="134"/>
      <c r="HL270" s="134"/>
      <c r="HM270" s="134"/>
      <c r="HN270" s="134"/>
      <c r="HO270" s="134"/>
      <c r="HP270" s="134"/>
      <c r="HQ270" s="134"/>
      <c r="HR270" s="134"/>
      <c r="HS270" s="134"/>
      <c r="HT270" s="134"/>
      <c r="HU270" s="134"/>
      <c r="HV270" s="134"/>
      <c r="HW270" s="134"/>
      <c r="HX270" s="134"/>
      <c r="HY270" s="134"/>
      <c r="HZ270" s="134"/>
      <c r="IA270" s="134"/>
      <c r="IB270" s="134"/>
      <c r="IC270" s="134"/>
      <c r="ID270" s="134"/>
      <c r="IE270" s="134"/>
      <c r="IF270" s="134"/>
      <c r="IG270" s="134"/>
      <c r="IH270" s="134"/>
      <c r="II270" s="134"/>
      <c r="IJ270" s="134"/>
      <c r="IK270" s="134"/>
      <c r="IL270" s="134"/>
      <c r="IM270" s="134"/>
      <c r="IN270" s="134"/>
      <c r="IO270" s="134"/>
      <c r="IP270" s="134"/>
      <c r="IQ270" s="134"/>
      <c r="IR270" s="134"/>
      <c r="IS270" s="134"/>
      <c r="IT270" s="134"/>
      <c r="IU270" s="134"/>
    </row>
    <row r="271" spans="1:255" ht="48" customHeight="1" x14ac:dyDescent="0.2">
      <c r="A271" s="236" t="str">
        <f>'HECVAT - Full'!A271</f>
        <v>HIPA-03</v>
      </c>
      <c r="B271" s="236" t="str">
        <f>VLOOKUP(A271,'HECVAT - Full'!A$24:B$312,2,FALSE)</f>
        <v>Has your organization designated HIPAA Privacy and Security officers as required by the Rules?</v>
      </c>
      <c r="C271" s="237" t="s">
        <v>602</v>
      </c>
      <c r="D271" s="247" t="s">
        <v>2971</v>
      </c>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c r="CZ271" s="134"/>
      <c r="DA271" s="134"/>
      <c r="DB271" s="134"/>
      <c r="DC271" s="134"/>
      <c r="DD271" s="134"/>
      <c r="DE271" s="134"/>
      <c r="DF271" s="134"/>
      <c r="DG271" s="134"/>
      <c r="DH271" s="134"/>
      <c r="DI271" s="134"/>
      <c r="DJ271" s="134"/>
      <c r="DK271" s="134"/>
      <c r="DL271" s="134"/>
      <c r="DM271" s="134"/>
      <c r="DN271" s="134"/>
      <c r="DO271" s="134"/>
      <c r="DP271" s="134"/>
      <c r="DQ271" s="134"/>
      <c r="DR271" s="134"/>
      <c r="DS271" s="134"/>
      <c r="DT271" s="134"/>
      <c r="DU271" s="134"/>
      <c r="DV271" s="134"/>
      <c r="DW271" s="134"/>
      <c r="DX271" s="134"/>
      <c r="DY271" s="134"/>
      <c r="DZ271" s="134"/>
      <c r="EA271" s="134"/>
      <c r="EB271" s="134"/>
      <c r="EC271" s="134"/>
      <c r="ED271" s="134"/>
      <c r="EE271" s="134"/>
      <c r="EF271" s="134"/>
      <c r="EG271" s="134"/>
      <c r="EH271" s="134"/>
      <c r="EI271" s="134"/>
      <c r="EJ271" s="134"/>
      <c r="EK271" s="134"/>
      <c r="EL271" s="134"/>
      <c r="EM271" s="134"/>
      <c r="EN271" s="134"/>
      <c r="EO271" s="134"/>
      <c r="EP271" s="134"/>
      <c r="EQ271" s="134"/>
      <c r="ER271" s="134"/>
      <c r="ES271" s="134"/>
      <c r="ET271" s="134"/>
      <c r="EU271" s="134"/>
      <c r="EV271" s="134"/>
      <c r="EW271" s="134"/>
      <c r="EX271" s="134"/>
      <c r="EY271" s="134"/>
      <c r="EZ271" s="134"/>
      <c r="FA271" s="134"/>
      <c r="FB271" s="134"/>
      <c r="FC271" s="134"/>
      <c r="FD271" s="134"/>
      <c r="FE271" s="134"/>
      <c r="FF271" s="134"/>
      <c r="FG271" s="134"/>
      <c r="FH271" s="134"/>
      <c r="FI271" s="134"/>
      <c r="FJ271" s="134"/>
      <c r="FK271" s="134"/>
      <c r="FL271" s="134"/>
      <c r="FM271" s="134"/>
      <c r="FN271" s="134"/>
      <c r="FO271" s="134"/>
      <c r="FP271" s="134"/>
      <c r="FQ271" s="134"/>
      <c r="FR271" s="134"/>
      <c r="FS271" s="134"/>
      <c r="FT271" s="134"/>
      <c r="FU271" s="134"/>
      <c r="FV271" s="134"/>
      <c r="FW271" s="134"/>
      <c r="FX271" s="134"/>
      <c r="FY271" s="134"/>
      <c r="FZ271" s="134"/>
      <c r="GA271" s="134"/>
      <c r="GB271" s="134"/>
      <c r="GC271" s="134"/>
      <c r="GD271" s="134"/>
      <c r="GE271" s="134"/>
      <c r="GF271" s="134"/>
      <c r="GG271" s="134"/>
      <c r="GH271" s="134"/>
      <c r="GI271" s="134"/>
      <c r="GJ271" s="134"/>
      <c r="GK271" s="134"/>
      <c r="GL271" s="134"/>
      <c r="GM271" s="134"/>
      <c r="GN271" s="134"/>
      <c r="GO271" s="134"/>
      <c r="GP271" s="134"/>
      <c r="GQ271" s="134"/>
      <c r="GR271" s="134"/>
      <c r="GS271" s="134"/>
      <c r="GT271" s="134"/>
      <c r="GU271" s="134"/>
      <c r="GV271" s="134"/>
      <c r="GW271" s="134"/>
      <c r="GX271" s="134"/>
      <c r="GY271" s="134"/>
      <c r="GZ271" s="134"/>
      <c r="HA271" s="134"/>
      <c r="HB271" s="134"/>
      <c r="HC271" s="134"/>
      <c r="HD271" s="134"/>
      <c r="HE271" s="134"/>
      <c r="HF271" s="134"/>
      <c r="HG271" s="134"/>
      <c r="HH271" s="134"/>
      <c r="HI271" s="134"/>
      <c r="HJ271" s="134"/>
      <c r="HK271" s="134"/>
      <c r="HL271" s="134"/>
      <c r="HM271" s="134"/>
      <c r="HN271" s="134"/>
      <c r="HO271" s="134"/>
      <c r="HP271" s="134"/>
      <c r="HQ271" s="134"/>
      <c r="HR271" s="134"/>
      <c r="HS271" s="134"/>
      <c r="HT271" s="134"/>
      <c r="HU271" s="134"/>
      <c r="HV271" s="134"/>
      <c r="HW271" s="134"/>
      <c r="HX271" s="134"/>
      <c r="HY271" s="134"/>
      <c r="HZ271" s="134"/>
      <c r="IA271" s="134"/>
      <c r="IB271" s="134"/>
      <c r="IC271" s="134"/>
      <c r="ID271" s="134"/>
      <c r="IE271" s="134"/>
      <c r="IF271" s="134"/>
      <c r="IG271" s="134"/>
      <c r="IH271" s="134"/>
      <c r="II271" s="134"/>
      <c r="IJ271" s="134"/>
      <c r="IK271" s="134"/>
      <c r="IL271" s="134"/>
      <c r="IM271" s="134"/>
      <c r="IN271" s="134"/>
      <c r="IO271" s="134"/>
      <c r="IP271" s="134"/>
      <c r="IQ271" s="134"/>
      <c r="IR271" s="134"/>
      <c r="IS271" s="134"/>
      <c r="IT271" s="134"/>
      <c r="IU271" s="134"/>
    </row>
    <row r="272" spans="1:255" ht="48" customHeight="1" x14ac:dyDescent="0.2">
      <c r="A272" s="236" t="str">
        <f>'HECVAT - Full'!A272</f>
        <v>HIPA-04</v>
      </c>
      <c r="B272" s="236" t="str">
        <f>VLOOKUP(A272,'HECVAT - Full'!A$24:B$312,2,FALSE)</f>
        <v>Do you comply with the requirements of the Health Information Technology for Economic and Clinical Health Act (HITECH)?</v>
      </c>
      <c r="C272" s="237" t="s">
        <v>2972</v>
      </c>
      <c r="D272" s="247" t="s">
        <v>2971</v>
      </c>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c r="CZ272" s="134"/>
      <c r="DA272" s="134"/>
      <c r="DB272" s="134"/>
      <c r="DC272" s="134"/>
      <c r="DD272" s="134"/>
      <c r="DE272" s="134"/>
      <c r="DF272" s="134"/>
      <c r="DG272" s="134"/>
      <c r="DH272" s="134"/>
      <c r="DI272" s="134"/>
      <c r="DJ272" s="134"/>
      <c r="DK272" s="134"/>
      <c r="DL272" s="134"/>
      <c r="DM272" s="134"/>
      <c r="DN272" s="134"/>
      <c r="DO272" s="134"/>
      <c r="DP272" s="134"/>
      <c r="DQ272" s="134"/>
      <c r="DR272" s="134"/>
      <c r="DS272" s="134"/>
      <c r="DT272" s="134"/>
      <c r="DU272" s="134"/>
      <c r="DV272" s="134"/>
      <c r="DW272" s="134"/>
      <c r="DX272" s="134"/>
      <c r="DY272" s="134"/>
      <c r="DZ272" s="134"/>
      <c r="EA272" s="134"/>
      <c r="EB272" s="134"/>
      <c r="EC272" s="134"/>
      <c r="ED272" s="134"/>
      <c r="EE272" s="134"/>
      <c r="EF272" s="134"/>
      <c r="EG272" s="134"/>
      <c r="EH272" s="134"/>
      <c r="EI272" s="134"/>
      <c r="EJ272" s="134"/>
      <c r="EK272" s="134"/>
      <c r="EL272" s="134"/>
      <c r="EM272" s="134"/>
      <c r="EN272" s="134"/>
      <c r="EO272" s="134"/>
      <c r="EP272" s="134"/>
      <c r="EQ272" s="134"/>
      <c r="ER272" s="134"/>
      <c r="ES272" s="134"/>
      <c r="ET272" s="134"/>
      <c r="EU272" s="134"/>
      <c r="EV272" s="134"/>
      <c r="EW272" s="134"/>
      <c r="EX272" s="134"/>
      <c r="EY272" s="134"/>
      <c r="EZ272" s="134"/>
      <c r="FA272" s="134"/>
      <c r="FB272" s="134"/>
      <c r="FC272" s="134"/>
      <c r="FD272" s="134"/>
      <c r="FE272" s="134"/>
      <c r="FF272" s="134"/>
      <c r="FG272" s="134"/>
      <c r="FH272" s="134"/>
      <c r="FI272" s="134"/>
      <c r="FJ272" s="134"/>
      <c r="FK272" s="134"/>
      <c r="FL272" s="134"/>
      <c r="FM272" s="134"/>
      <c r="FN272" s="134"/>
      <c r="FO272" s="134"/>
      <c r="FP272" s="134"/>
      <c r="FQ272" s="134"/>
      <c r="FR272" s="134"/>
      <c r="FS272" s="134"/>
      <c r="FT272" s="134"/>
      <c r="FU272" s="134"/>
      <c r="FV272" s="134"/>
      <c r="FW272" s="134"/>
      <c r="FX272" s="134"/>
      <c r="FY272" s="134"/>
      <c r="FZ272" s="134"/>
      <c r="GA272" s="134"/>
      <c r="GB272" s="134"/>
      <c r="GC272" s="134"/>
      <c r="GD272" s="134"/>
      <c r="GE272" s="134"/>
      <c r="GF272" s="134"/>
      <c r="GG272" s="134"/>
      <c r="GH272" s="134"/>
      <c r="GI272" s="134"/>
      <c r="GJ272" s="134"/>
      <c r="GK272" s="134"/>
      <c r="GL272" s="134"/>
      <c r="GM272" s="134"/>
      <c r="GN272" s="134"/>
      <c r="GO272" s="134"/>
      <c r="GP272" s="134"/>
      <c r="GQ272" s="134"/>
      <c r="GR272" s="134"/>
      <c r="GS272" s="134"/>
      <c r="GT272" s="134"/>
      <c r="GU272" s="134"/>
      <c r="GV272" s="134"/>
      <c r="GW272" s="134"/>
      <c r="GX272" s="134"/>
      <c r="GY272" s="134"/>
      <c r="GZ272" s="134"/>
      <c r="HA272" s="134"/>
      <c r="HB272" s="134"/>
      <c r="HC272" s="134"/>
      <c r="HD272" s="134"/>
      <c r="HE272" s="134"/>
      <c r="HF272" s="134"/>
      <c r="HG272" s="134"/>
      <c r="HH272" s="134"/>
      <c r="HI272" s="134"/>
      <c r="HJ272" s="134"/>
      <c r="HK272" s="134"/>
      <c r="HL272" s="134"/>
      <c r="HM272" s="134"/>
      <c r="HN272" s="134"/>
      <c r="HO272" s="134"/>
      <c r="HP272" s="134"/>
      <c r="HQ272" s="134"/>
      <c r="HR272" s="134"/>
      <c r="HS272" s="134"/>
      <c r="HT272" s="134"/>
      <c r="HU272" s="134"/>
      <c r="HV272" s="134"/>
      <c r="HW272" s="134"/>
      <c r="HX272" s="134"/>
      <c r="HY272" s="134"/>
      <c r="HZ272" s="134"/>
      <c r="IA272" s="134"/>
      <c r="IB272" s="134"/>
      <c r="IC272" s="134"/>
      <c r="ID272" s="134"/>
      <c r="IE272" s="134"/>
      <c r="IF272" s="134"/>
      <c r="IG272" s="134"/>
      <c r="IH272" s="134"/>
      <c r="II272" s="134"/>
      <c r="IJ272" s="134"/>
      <c r="IK272" s="134"/>
      <c r="IL272" s="134"/>
      <c r="IM272" s="134"/>
      <c r="IN272" s="134"/>
      <c r="IO272" s="134"/>
      <c r="IP272" s="134"/>
      <c r="IQ272" s="134"/>
      <c r="IR272" s="134"/>
      <c r="IS272" s="134"/>
      <c r="IT272" s="134"/>
      <c r="IU272" s="134"/>
    </row>
    <row r="273" spans="1:255" ht="48" customHeight="1" x14ac:dyDescent="0.2">
      <c r="A273" s="236" t="str">
        <f>'HECVAT - Full'!A273</f>
        <v>HIPA-05</v>
      </c>
      <c r="B273" s="236" t="str">
        <f>VLOOKUP(A273,'HECVAT - Full'!A$24:B$312,2,FALSE)</f>
        <v>Do you have an incident response process and reporting in place to investigate any potential incidents and report actual incidents?</v>
      </c>
      <c r="C273" s="237" t="s">
        <v>603</v>
      </c>
      <c r="D273" s="247" t="s">
        <v>2971</v>
      </c>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c r="DG273" s="134"/>
      <c r="DH273" s="134"/>
      <c r="DI273" s="134"/>
      <c r="DJ273" s="134"/>
      <c r="DK273" s="134"/>
      <c r="DL273" s="134"/>
      <c r="DM273" s="134"/>
      <c r="DN273" s="134"/>
      <c r="DO273" s="134"/>
      <c r="DP273" s="134"/>
      <c r="DQ273" s="134"/>
      <c r="DR273" s="134"/>
      <c r="DS273" s="134"/>
      <c r="DT273" s="134"/>
      <c r="DU273" s="134"/>
      <c r="DV273" s="134"/>
      <c r="DW273" s="134"/>
      <c r="DX273" s="134"/>
      <c r="DY273" s="134"/>
      <c r="DZ273" s="134"/>
      <c r="EA273" s="134"/>
      <c r="EB273" s="134"/>
      <c r="EC273" s="134"/>
      <c r="ED273" s="134"/>
      <c r="EE273" s="134"/>
      <c r="EF273" s="134"/>
      <c r="EG273" s="134"/>
      <c r="EH273" s="134"/>
      <c r="EI273" s="134"/>
      <c r="EJ273" s="134"/>
      <c r="EK273" s="134"/>
      <c r="EL273" s="134"/>
      <c r="EM273" s="134"/>
      <c r="EN273" s="134"/>
      <c r="EO273" s="134"/>
      <c r="EP273" s="134"/>
      <c r="EQ273" s="134"/>
      <c r="ER273" s="134"/>
      <c r="ES273" s="134"/>
      <c r="ET273" s="134"/>
      <c r="EU273" s="134"/>
      <c r="EV273" s="134"/>
      <c r="EW273" s="134"/>
      <c r="EX273" s="134"/>
      <c r="EY273" s="134"/>
      <c r="EZ273" s="134"/>
      <c r="FA273" s="134"/>
      <c r="FB273" s="134"/>
      <c r="FC273" s="134"/>
      <c r="FD273" s="134"/>
      <c r="FE273" s="134"/>
      <c r="FF273" s="134"/>
      <c r="FG273" s="134"/>
      <c r="FH273" s="134"/>
      <c r="FI273" s="134"/>
      <c r="FJ273" s="134"/>
      <c r="FK273" s="134"/>
      <c r="FL273" s="134"/>
      <c r="FM273" s="134"/>
      <c r="FN273" s="134"/>
      <c r="FO273" s="134"/>
      <c r="FP273" s="134"/>
      <c r="FQ273" s="134"/>
      <c r="FR273" s="134"/>
      <c r="FS273" s="134"/>
      <c r="FT273" s="134"/>
      <c r="FU273" s="134"/>
      <c r="FV273" s="134"/>
      <c r="FW273" s="134"/>
      <c r="FX273" s="134"/>
      <c r="FY273" s="134"/>
      <c r="FZ273" s="134"/>
      <c r="GA273" s="134"/>
      <c r="GB273" s="134"/>
      <c r="GC273" s="134"/>
      <c r="GD273" s="134"/>
      <c r="GE273" s="134"/>
      <c r="GF273" s="134"/>
      <c r="GG273" s="134"/>
      <c r="GH273" s="134"/>
      <c r="GI273" s="134"/>
      <c r="GJ273" s="134"/>
      <c r="GK273" s="134"/>
      <c r="GL273" s="134"/>
      <c r="GM273" s="134"/>
      <c r="GN273" s="134"/>
      <c r="GO273" s="134"/>
      <c r="GP273" s="134"/>
      <c r="GQ273" s="134"/>
      <c r="GR273" s="134"/>
      <c r="GS273" s="134"/>
      <c r="GT273" s="134"/>
      <c r="GU273" s="134"/>
      <c r="GV273" s="134"/>
      <c r="GW273" s="134"/>
      <c r="GX273" s="134"/>
      <c r="GY273" s="134"/>
      <c r="GZ273" s="134"/>
      <c r="HA273" s="134"/>
      <c r="HB273" s="134"/>
      <c r="HC273" s="134"/>
      <c r="HD273" s="134"/>
      <c r="HE273" s="134"/>
      <c r="HF273" s="134"/>
      <c r="HG273" s="134"/>
      <c r="HH273" s="134"/>
      <c r="HI273" s="134"/>
      <c r="HJ273" s="134"/>
      <c r="HK273" s="134"/>
      <c r="HL273" s="134"/>
      <c r="HM273" s="134"/>
      <c r="HN273" s="134"/>
      <c r="HO273" s="134"/>
      <c r="HP273" s="134"/>
      <c r="HQ273" s="134"/>
      <c r="HR273" s="134"/>
      <c r="HS273" s="134"/>
      <c r="HT273" s="134"/>
      <c r="HU273" s="134"/>
      <c r="HV273" s="134"/>
      <c r="HW273" s="134"/>
      <c r="HX273" s="134"/>
      <c r="HY273" s="134"/>
      <c r="HZ273" s="134"/>
      <c r="IA273" s="134"/>
      <c r="IB273" s="134"/>
      <c r="IC273" s="134"/>
      <c r="ID273" s="134"/>
      <c r="IE273" s="134"/>
      <c r="IF273" s="134"/>
      <c r="IG273" s="134"/>
      <c r="IH273" s="134"/>
      <c r="II273" s="134"/>
      <c r="IJ273" s="134"/>
      <c r="IK273" s="134"/>
      <c r="IL273" s="134"/>
      <c r="IM273" s="134"/>
      <c r="IN273" s="134"/>
      <c r="IO273" s="134"/>
      <c r="IP273" s="134"/>
      <c r="IQ273" s="134"/>
      <c r="IR273" s="134"/>
      <c r="IS273" s="134"/>
      <c r="IT273" s="134"/>
      <c r="IU273" s="134"/>
    </row>
    <row r="274" spans="1:255" ht="48" customHeight="1" x14ac:dyDescent="0.2">
      <c r="A274" s="236" t="str">
        <f>'HECVAT - Full'!A274</f>
        <v>HIPA-06</v>
      </c>
      <c r="B274" s="236" t="str">
        <f>VLOOKUP(A274,'HECVAT - Full'!A$24:B$312,2,FALSE)</f>
        <v>Do you have a plan to comply with the Breach Notification requirements if there is a breach of data?</v>
      </c>
      <c r="C274" s="237" t="s">
        <v>689</v>
      </c>
      <c r="D274" s="247" t="s">
        <v>2971</v>
      </c>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34"/>
      <c r="BQ274" s="134"/>
      <c r="BR274" s="134"/>
      <c r="BS274" s="134"/>
      <c r="BT274" s="134"/>
      <c r="BU274" s="134"/>
      <c r="BV274" s="134"/>
      <c r="BW274" s="134"/>
      <c r="BX274" s="134"/>
      <c r="BY274" s="134"/>
      <c r="BZ274" s="134"/>
      <c r="CA274" s="134"/>
      <c r="CB274" s="134"/>
      <c r="CC274" s="134"/>
      <c r="CD274" s="134"/>
      <c r="CE274" s="134"/>
      <c r="CF274" s="134"/>
      <c r="CG274" s="134"/>
      <c r="CH274" s="134"/>
      <c r="CI274" s="134"/>
      <c r="CJ274" s="134"/>
      <c r="CK274" s="134"/>
      <c r="CL274" s="134"/>
      <c r="CM274" s="134"/>
      <c r="CN274" s="134"/>
      <c r="CO274" s="134"/>
      <c r="CP274" s="134"/>
      <c r="CQ274" s="134"/>
      <c r="CR274" s="134"/>
      <c r="CS274" s="134"/>
      <c r="CT274" s="134"/>
      <c r="CU274" s="134"/>
      <c r="CV274" s="134"/>
      <c r="CW274" s="134"/>
      <c r="CX274" s="134"/>
      <c r="CY274" s="134"/>
      <c r="CZ274" s="134"/>
      <c r="DA274" s="134"/>
      <c r="DB274" s="134"/>
      <c r="DC274" s="134"/>
      <c r="DD274" s="134"/>
      <c r="DE274" s="134"/>
      <c r="DF274" s="134"/>
      <c r="DG274" s="134"/>
      <c r="DH274" s="134"/>
      <c r="DI274" s="134"/>
      <c r="DJ274" s="134"/>
      <c r="DK274" s="134"/>
      <c r="DL274" s="134"/>
      <c r="DM274" s="134"/>
      <c r="DN274" s="134"/>
      <c r="DO274" s="134"/>
      <c r="DP274" s="134"/>
      <c r="DQ274" s="134"/>
      <c r="DR274" s="134"/>
      <c r="DS274" s="134"/>
      <c r="DT274" s="134"/>
      <c r="DU274" s="134"/>
      <c r="DV274" s="134"/>
      <c r="DW274" s="134"/>
      <c r="DX274" s="134"/>
      <c r="DY274" s="134"/>
      <c r="DZ274" s="134"/>
      <c r="EA274" s="134"/>
      <c r="EB274" s="134"/>
      <c r="EC274" s="134"/>
      <c r="ED274" s="134"/>
      <c r="EE274" s="134"/>
      <c r="EF274" s="134"/>
      <c r="EG274" s="134"/>
      <c r="EH274" s="134"/>
      <c r="EI274" s="134"/>
      <c r="EJ274" s="134"/>
      <c r="EK274" s="134"/>
      <c r="EL274" s="134"/>
      <c r="EM274" s="134"/>
      <c r="EN274" s="134"/>
      <c r="EO274" s="134"/>
      <c r="EP274" s="134"/>
      <c r="EQ274" s="134"/>
      <c r="ER274" s="134"/>
      <c r="ES274" s="134"/>
      <c r="ET274" s="134"/>
      <c r="EU274" s="134"/>
      <c r="EV274" s="134"/>
      <c r="EW274" s="134"/>
      <c r="EX274" s="134"/>
      <c r="EY274" s="134"/>
      <c r="EZ274" s="134"/>
      <c r="FA274" s="134"/>
      <c r="FB274" s="134"/>
      <c r="FC274" s="134"/>
      <c r="FD274" s="134"/>
      <c r="FE274" s="134"/>
      <c r="FF274" s="134"/>
      <c r="FG274" s="134"/>
      <c r="FH274" s="134"/>
      <c r="FI274" s="134"/>
      <c r="FJ274" s="134"/>
      <c r="FK274" s="134"/>
      <c r="FL274" s="134"/>
      <c r="FM274" s="134"/>
      <c r="FN274" s="134"/>
      <c r="FO274" s="134"/>
      <c r="FP274" s="134"/>
      <c r="FQ274" s="134"/>
      <c r="FR274" s="134"/>
      <c r="FS274" s="134"/>
      <c r="FT274" s="134"/>
      <c r="FU274" s="134"/>
      <c r="FV274" s="134"/>
      <c r="FW274" s="134"/>
      <c r="FX274" s="134"/>
      <c r="FY274" s="134"/>
      <c r="FZ274" s="134"/>
      <c r="GA274" s="134"/>
      <c r="GB274" s="134"/>
      <c r="GC274" s="134"/>
      <c r="GD274" s="134"/>
      <c r="GE274" s="134"/>
      <c r="GF274" s="134"/>
      <c r="GG274" s="134"/>
      <c r="GH274" s="134"/>
      <c r="GI274" s="134"/>
      <c r="GJ274" s="134"/>
      <c r="GK274" s="134"/>
      <c r="GL274" s="134"/>
      <c r="GM274" s="134"/>
      <c r="GN274" s="134"/>
      <c r="GO274" s="134"/>
      <c r="GP274" s="134"/>
      <c r="GQ274" s="134"/>
      <c r="GR274" s="134"/>
      <c r="GS274" s="134"/>
      <c r="GT274" s="134"/>
      <c r="GU274" s="134"/>
      <c r="GV274" s="134"/>
      <c r="GW274" s="134"/>
      <c r="GX274" s="134"/>
      <c r="GY274" s="134"/>
      <c r="GZ274" s="134"/>
      <c r="HA274" s="134"/>
      <c r="HB274" s="134"/>
      <c r="HC274" s="134"/>
      <c r="HD274" s="134"/>
      <c r="HE274" s="134"/>
      <c r="HF274" s="134"/>
      <c r="HG274" s="134"/>
      <c r="HH274" s="134"/>
      <c r="HI274" s="134"/>
      <c r="HJ274" s="134"/>
      <c r="HK274" s="134"/>
      <c r="HL274" s="134"/>
      <c r="HM274" s="134"/>
      <c r="HN274" s="134"/>
      <c r="HO274" s="134"/>
      <c r="HP274" s="134"/>
      <c r="HQ274" s="134"/>
      <c r="HR274" s="134"/>
      <c r="HS274" s="134"/>
      <c r="HT274" s="134"/>
      <c r="HU274" s="134"/>
      <c r="HV274" s="134"/>
      <c r="HW274" s="134"/>
      <c r="HX274" s="134"/>
      <c r="HY274" s="134"/>
      <c r="HZ274" s="134"/>
      <c r="IA274" s="134"/>
      <c r="IB274" s="134"/>
      <c r="IC274" s="134"/>
      <c r="ID274" s="134"/>
      <c r="IE274" s="134"/>
      <c r="IF274" s="134"/>
      <c r="IG274" s="134"/>
      <c r="IH274" s="134"/>
      <c r="II274" s="134"/>
      <c r="IJ274" s="134"/>
      <c r="IK274" s="134"/>
      <c r="IL274" s="134"/>
      <c r="IM274" s="134"/>
      <c r="IN274" s="134"/>
      <c r="IO274" s="134"/>
      <c r="IP274" s="134"/>
      <c r="IQ274" s="134"/>
      <c r="IR274" s="134"/>
      <c r="IS274" s="134"/>
      <c r="IT274" s="134"/>
      <c r="IU274" s="134"/>
    </row>
    <row r="275" spans="1:255" ht="48" customHeight="1" x14ac:dyDescent="0.2">
      <c r="A275" s="236" t="str">
        <f>'HECVAT - Full'!A275</f>
        <v>HIPA-07</v>
      </c>
      <c r="B275" s="236" t="str">
        <f>VLOOKUP(A275,'HECVAT - Full'!A$24:B$312,2,FALSE)</f>
        <v>Have you conducted a risk analysis as required under the Security Rule?</v>
      </c>
      <c r="C275" s="237" t="s">
        <v>598</v>
      </c>
      <c r="D275" s="247" t="s">
        <v>2971</v>
      </c>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34"/>
      <c r="BQ275" s="134"/>
      <c r="BR275" s="134"/>
      <c r="BS275" s="134"/>
      <c r="BT275" s="134"/>
      <c r="BU275" s="134"/>
      <c r="BV275" s="134"/>
      <c r="BW275" s="134"/>
      <c r="BX275" s="134"/>
      <c r="BY275" s="134"/>
      <c r="BZ275" s="134"/>
      <c r="CA275" s="134"/>
      <c r="CB275" s="134"/>
      <c r="CC275" s="134"/>
      <c r="CD275" s="134"/>
      <c r="CE275" s="134"/>
      <c r="CF275" s="134"/>
      <c r="CG275" s="134"/>
      <c r="CH275" s="134"/>
      <c r="CI275" s="134"/>
      <c r="CJ275" s="134"/>
      <c r="CK275" s="134"/>
      <c r="CL275" s="134"/>
      <c r="CM275" s="134"/>
      <c r="CN275" s="134"/>
      <c r="CO275" s="134"/>
      <c r="CP275" s="134"/>
      <c r="CQ275" s="134"/>
      <c r="CR275" s="134"/>
      <c r="CS275" s="134"/>
      <c r="CT275" s="134"/>
      <c r="CU275" s="134"/>
      <c r="CV275" s="134"/>
      <c r="CW275" s="134"/>
      <c r="CX275" s="134"/>
      <c r="CY275" s="134"/>
      <c r="CZ275" s="134"/>
      <c r="DA275" s="134"/>
      <c r="DB275" s="134"/>
      <c r="DC275" s="134"/>
      <c r="DD275" s="134"/>
      <c r="DE275" s="134"/>
      <c r="DF275" s="134"/>
      <c r="DG275" s="134"/>
      <c r="DH275" s="134"/>
      <c r="DI275" s="134"/>
      <c r="DJ275" s="134"/>
      <c r="DK275" s="134"/>
      <c r="DL275" s="134"/>
      <c r="DM275" s="134"/>
      <c r="DN275" s="134"/>
      <c r="DO275" s="134"/>
      <c r="DP275" s="134"/>
      <c r="DQ275" s="134"/>
      <c r="DR275" s="134"/>
      <c r="DS275" s="134"/>
      <c r="DT275" s="134"/>
      <c r="DU275" s="134"/>
      <c r="DV275" s="134"/>
      <c r="DW275" s="134"/>
      <c r="DX275" s="134"/>
      <c r="DY275" s="134"/>
      <c r="DZ275" s="134"/>
      <c r="EA275" s="134"/>
      <c r="EB275" s="134"/>
      <c r="EC275" s="134"/>
      <c r="ED275" s="134"/>
      <c r="EE275" s="134"/>
      <c r="EF275" s="134"/>
      <c r="EG275" s="134"/>
      <c r="EH275" s="134"/>
      <c r="EI275" s="134"/>
      <c r="EJ275" s="134"/>
      <c r="EK275" s="134"/>
      <c r="EL275" s="134"/>
      <c r="EM275" s="134"/>
      <c r="EN275" s="134"/>
      <c r="EO275" s="134"/>
      <c r="EP275" s="134"/>
      <c r="EQ275" s="134"/>
      <c r="ER275" s="134"/>
      <c r="ES275" s="134"/>
      <c r="ET275" s="134"/>
      <c r="EU275" s="134"/>
      <c r="EV275" s="134"/>
      <c r="EW275" s="134"/>
      <c r="EX275" s="134"/>
      <c r="EY275" s="134"/>
      <c r="EZ275" s="134"/>
      <c r="FA275" s="134"/>
      <c r="FB275" s="134"/>
      <c r="FC275" s="134"/>
      <c r="FD275" s="134"/>
      <c r="FE275" s="134"/>
      <c r="FF275" s="134"/>
      <c r="FG275" s="134"/>
      <c r="FH275" s="134"/>
      <c r="FI275" s="134"/>
      <c r="FJ275" s="134"/>
      <c r="FK275" s="134"/>
      <c r="FL275" s="134"/>
      <c r="FM275" s="134"/>
      <c r="FN275" s="134"/>
      <c r="FO275" s="134"/>
      <c r="FP275" s="134"/>
      <c r="FQ275" s="134"/>
      <c r="FR275" s="134"/>
      <c r="FS275" s="134"/>
      <c r="FT275" s="134"/>
      <c r="FU275" s="134"/>
      <c r="FV275" s="134"/>
      <c r="FW275" s="134"/>
      <c r="FX275" s="134"/>
      <c r="FY275" s="134"/>
      <c r="FZ275" s="134"/>
      <c r="GA275" s="134"/>
      <c r="GB275" s="134"/>
      <c r="GC275" s="134"/>
      <c r="GD275" s="134"/>
      <c r="GE275" s="134"/>
      <c r="GF275" s="134"/>
      <c r="GG275" s="134"/>
      <c r="GH275" s="134"/>
      <c r="GI275" s="134"/>
      <c r="GJ275" s="134"/>
      <c r="GK275" s="134"/>
      <c r="GL275" s="134"/>
      <c r="GM275" s="134"/>
      <c r="GN275" s="134"/>
      <c r="GO275" s="134"/>
      <c r="GP275" s="134"/>
      <c r="GQ275" s="134"/>
      <c r="GR275" s="134"/>
      <c r="GS275" s="134"/>
      <c r="GT275" s="134"/>
      <c r="GU275" s="134"/>
      <c r="GV275" s="134"/>
      <c r="GW275" s="134"/>
      <c r="GX275" s="134"/>
      <c r="GY275" s="134"/>
      <c r="GZ275" s="134"/>
      <c r="HA275" s="134"/>
      <c r="HB275" s="134"/>
      <c r="HC275" s="134"/>
      <c r="HD275" s="134"/>
      <c r="HE275" s="134"/>
      <c r="HF275" s="134"/>
      <c r="HG275" s="134"/>
      <c r="HH275" s="134"/>
      <c r="HI275" s="134"/>
      <c r="HJ275" s="134"/>
      <c r="HK275" s="134"/>
      <c r="HL275" s="134"/>
      <c r="HM275" s="134"/>
      <c r="HN275" s="134"/>
      <c r="HO275" s="134"/>
      <c r="HP275" s="134"/>
      <c r="HQ275" s="134"/>
      <c r="HR275" s="134"/>
      <c r="HS275" s="134"/>
      <c r="HT275" s="134"/>
      <c r="HU275" s="134"/>
      <c r="HV275" s="134"/>
      <c r="HW275" s="134"/>
      <c r="HX275" s="134"/>
      <c r="HY275" s="134"/>
      <c r="HZ275" s="134"/>
      <c r="IA275" s="134"/>
      <c r="IB275" s="134"/>
      <c r="IC275" s="134"/>
      <c r="ID275" s="134"/>
      <c r="IE275" s="134"/>
      <c r="IF275" s="134"/>
      <c r="IG275" s="134"/>
      <c r="IH275" s="134"/>
      <c r="II275" s="134"/>
      <c r="IJ275" s="134"/>
      <c r="IK275" s="134"/>
      <c r="IL275" s="134"/>
      <c r="IM275" s="134"/>
      <c r="IN275" s="134"/>
      <c r="IO275" s="134"/>
      <c r="IP275" s="134"/>
      <c r="IQ275" s="134"/>
      <c r="IR275" s="134"/>
      <c r="IS275" s="134"/>
      <c r="IT275" s="134"/>
      <c r="IU275" s="134"/>
    </row>
    <row r="276" spans="1:255" ht="48" customHeight="1" x14ac:dyDescent="0.2">
      <c r="A276" s="236" t="str">
        <f>'HECVAT - Full'!A276</f>
        <v>HIPA-08</v>
      </c>
      <c r="B276" s="236" t="str">
        <f>VLOOKUP(A276,'HECVAT - Full'!A$24:B$312,2,FALSE)</f>
        <v>Have you identified areas of risks?</v>
      </c>
      <c r="C276" s="237" t="s">
        <v>610</v>
      </c>
      <c r="D276" s="247" t="s">
        <v>2971</v>
      </c>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c r="CZ276" s="134"/>
      <c r="DA276" s="134"/>
      <c r="DB276" s="134"/>
      <c r="DC276" s="134"/>
      <c r="DD276" s="134"/>
      <c r="DE276" s="134"/>
      <c r="DF276" s="134"/>
      <c r="DG276" s="134"/>
      <c r="DH276" s="134"/>
      <c r="DI276" s="134"/>
      <c r="DJ276" s="134"/>
      <c r="DK276" s="134"/>
      <c r="DL276" s="134"/>
      <c r="DM276" s="134"/>
      <c r="DN276" s="134"/>
      <c r="DO276" s="134"/>
      <c r="DP276" s="134"/>
      <c r="DQ276" s="134"/>
      <c r="DR276" s="134"/>
      <c r="DS276" s="134"/>
      <c r="DT276" s="134"/>
      <c r="DU276" s="134"/>
      <c r="DV276" s="134"/>
      <c r="DW276" s="134"/>
      <c r="DX276" s="134"/>
      <c r="DY276" s="134"/>
      <c r="DZ276" s="134"/>
      <c r="EA276" s="134"/>
      <c r="EB276" s="134"/>
      <c r="EC276" s="134"/>
      <c r="ED276" s="134"/>
      <c r="EE276" s="134"/>
      <c r="EF276" s="134"/>
      <c r="EG276" s="134"/>
      <c r="EH276" s="134"/>
      <c r="EI276" s="134"/>
      <c r="EJ276" s="134"/>
      <c r="EK276" s="134"/>
      <c r="EL276" s="134"/>
      <c r="EM276" s="134"/>
      <c r="EN276" s="134"/>
      <c r="EO276" s="134"/>
      <c r="EP276" s="134"/>
      <c r="EQ276" s="134"/>
      <c r="ER276" s="134"/>
      <c r="ES276" s="134"/>
      <c r="ET276" s="134"/>
      <c r="EU276" s="134"/>
      <c r="EV276" s="134"/>
      <c r="EW276" s="134"/>
      <c r="EX276" s="134"/>
      <c r="EY276" s="134"/>
      <c r="EZ276" s="134"/>
      <c r="FA276" s="134"/>
      <c r="FB276" s="134"/>
      <c r="FC276" s="134"/>
      <c r="FD276" s="134"/>
      <c r="FE276" s="134"/>
      <c r="FF276" s="134"/>
      <c r="FG276" s="134"/>
      <c r="FH276" s="134"/>
      <c r="FI276" s="134"/>
      <c r="FJ276" s="134"/>
      <c r="FK276" s="134"/>
      <c r="FL276" s="134"/>
      <c r="FM276" s="134"/>
      <c r="FN276" s="134"/>
      <c r="FO276" s="134"/>
      <c r="FP276" s="134"/>
      <c r="FQ276" s="134"/>
      <c r="FR276" s="134"/>
      <c r="FS276" s="134"/>
      <c r="FT276" s="134"/>
      <c r="FU276" s="134"/>
      <c r="FV276" s="134"/>
      <c r="FW276" s="134"/>
      <c r="FX276" s="134"/>
      <c r="FY276" s="134"/>
      <c r="FZ276" s="134"/>
      <c r="GA276" s="134"/>
      <c r="GB276" s="134"/>
      <c r="GC276" s="134"/>
      <c r="GD276" s="134"/>
      <c r="GE276" s="134"/>
      <c r="GF276" s="134"/>
      <c r="GG276" s="134"/>
      <c r="GH276" s="134"/>
      <c r="GI276" s="134"/>
      <c r="GJ276" s="134"/>
      <c r="GK276" s="134"/>
      <c r="GL276" s="134"/>
      <c r="GM276" s="134"/>
      <c r="GN276" s="134"/>
      <c r="GO276" s="134"/>
      <c r="GP276" s="134"/>
      <c r="GQ276" s="134"/>
      <c r="GR276" s="134"/>
      <c r="GS276" s="134"/>
      <c r="GT276" s="134"/>
      <c r="GU276" s="134"/>
      <c r="GV276" s="134"/>
      <c r="GW276" s="134"/>
      <c r="GX276" s="134"/>
      <c r="GY276" s="134"/>
      <c r="GZ276" s="134"/>
      <c r="HA276" s="134"/>
      <c r="HB276" s="134"/>
      <c r="HC276" s="134"/>
      <c r="HD276" s="134"/>
      <c r="HE276" s="134"/>
      <c r="HF276" s="134"/>
      <c r="HG276" s="134"/>
      <c r="HH276" s="134"/>
      <c r="HI276" s="134"/>
      <c r="HJ276" s="134"/>
      <c r="HK276" s="134"/>
      <c r="HL276" s="134"/>
      <c r="HM276" s="134"/>
      <c r="HN276" s="134"/>
      <c r="HO276" s="134"/>
      <c r="HP276" s="134"/>
      <c r="HQ276" s="134"/>
      <c r="HR276" s="134"/>
      <c r="HS276" s="134"/>
      <c r="HT276" s="134"/>
      <c r="HU276" s="134"/>
      <c r="HV276" s="134"/>
      <c r="HW276" s="134"/>
      <c r="HX276" s="134"/>
      <c r="HY276" s="134"/>
      <c r="HZ276" s="134"/>
      <c r="IA276" s="134"/>
      <c r="IB276" s="134"/>
      <c r="IC276" s="134"/>
      <c r="ID276" s="134"/>
      <c r="IE276" s="134"/>
      <c r="IF276" s="134"/>
      <c r="IG276" s="134"/>
      <c r="IH276" s="134"/>
      <c r="II276" s="134"/>
      <c r="IJ276" s="134"/>
      <c r="IK276" s="134"/>
      <c r="IL276" s="134"/>
      <c r="IM276" s="134"/>
      <c r="IN276" s="134"/>
      <c r="IO276" s="134"/>
      <c r="IP276" s="134"/>
      <c r="IQ276" s="134"/>
      <c r="IR276" s="134"/>
      <c r="IS276" s="134"/>
      <c r="IT276" s="134"/>
      <c r="IU276" s="134"/>
    </row>
    <row r="277" spans="1:255" ht="48" customHeight="1" x14ac:dyDescent="0.2">
      <c r="A277" s="236" t="str">
        <f>'HECVAT - Full'!A277</f>
        <v>HIPA-09</v>
      </c>
      <c r="B277" s="236" t="str">
        <f>VLOOKUP(A277,'HECVAT - Full'!A$24:B$312,2,FALSE)</f>
        <v>Have you taken actions to mitigate the identified risks?</v>
      </c>
      <c r="C277" s="237" t="s">
        <v>599</v>
      </c>
      <c r="D277" s="247" t="s">
        <v>2971</v>
      </c>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34"/>
      <c r="BQ277" s="134"/>
      <c r="BR277" s="134"/>
      <c r="BS277" s="134"/>
      <c r="BT277" s="134"/>
      <c r="BU277" s="134"/>
      <c r="BV277" s="134"/>
      <c r="BW277" s="134"/>
      <c r="BX277" s="134"/>
      <c r="BY277" s="134"/>
      <c r="BZ277" s="134"/>
      <c r="CA277" s="134"/>
      <c r="CB277" s="134"/>
      <c r="CC277" s="134"/>
      <c r="CD277" s="134"/>
      <c r="CE277" s="134"/>
      <c r="CF277" s="134"/>
      <c r="CG277" s="134"/>
      <c r="CH277" s="134"/>
      <c r="CI277" s="134"/>
      <c r="CJ277" s="134"/>
      <c r="CK277" s="134"/>
      <c r="CL277" s="134"/>
      <c r="CM277" s="134"/>
      <c r="CN277" s="134"/>
      <c r="CO277" s="134"/>
      <c r="CP277" s="134"/>
      <c r="CQ277" s="134"/>
      <c r="CR277" s="134"/>
      <c r="CS277" s="134"/>
      <c r="CT277" s="134"/>
      <c r="CU277" s="134"/>
      <c r="CV277" s="134"/>
      <c r="CW277" s="134"/>
      <c r="CX277" s="134"/>
      <c r="CY277" s="134"/>
      <c r="CZ277" s="134"/>
      <c r="DA277" s="134"/>
      <c r="DB277" s="134"/>
      <c r="DC277" s="134"/>
      <c r="DD277" s="134"/>
      <c r="DE277" s="134"/>
      <c r="DF277" s="134"/>
      <c r="DG277" s="134"/>
      <c r="DH277" s="134"/>
      <c r="DI277" s="134"/>
      <c r="DJ277" s="134"/>
      <c r="DK277" s="134"/>
      <c r="DL277" s="134"/>
      <c r="DM277" s="134"/>
      <c r="DN277" s="134"/>
      <c r="DO277" s="134"/>
      <c r="DP277" s="134"/>
      <c r="DQ277" s="134"/>
      <c r="DR277" s="134"/>
      <c r="DS277" s="134"/>
      <c r="DT277" s="134"/>
      <c r="DU277" s="134"/>
      <c r="DV277" s="134"/>
      <c r="DW277" s="134"/>
      <c r="DX277" s="134"/>
      <c r="DY277" s="134"/>
      <c r="DZ277" s="134"/>
      <c r="EA277" s="134"/>
      <c r="EB277" s="134"/>
      <c r="EC277" s="134"/>
      <c r="ED277" s="134"/>
      <c r="EE277" s="134"/>
      <c r="EF277" s="134"/>
      <c r="EG277" s="134"/>
      <c r="EH277" s="134"/>
      <c r="EI277" s="134"/>
      <c r="EJ277" s="134"/>
      <c r="EK277" s="134"/>
      <c r="EL277" s="134"/>
      <c r="EM277" s="134"/>
      <c r="EN277" s="134"/>
      <c r="EO277" s="134"/>
      <c r="EP277" s="134"/>
      <c r="EQ277" s="134"/>
      <c r="ER277" s="134"/>
      <c r="ES277" s="134"/>
      <c r="ET277" s="134"/>
      <c r="EU277" s="134"/>
      <c r="EV277" s="134"/>
      <c r="EW277" s="134"/>
      <c r="EX277" s="134"/>
      <c r="EY277" s="134"/>
      <c r="EZ277" s="134"/>
      <c r="FA277" s="134"/>
      <c r="FB277" s="134"/>
      <c r="FC277" s="134"/>
      <c r="FD277" s="134"/>
      <c r="FE277" s="134"/>
      <c r="FF277" s="134"/>
      <c r="FG277" s="134"/>
      <c r="FH277" s="134"/>
      <c r="FI277" s="134"/>
      <c r="FJ277" s="134"/>
      <c r="FK277" s="134"/>
      <c r="FL277" s="134"/>
      <c r="FM277" s="134"/>
      <c r="FN277" s="134"/>
      <c r="FO277" s="134"/>
      <c r="FP277" s="134"/>
      <c r="FQ277" s="134"/>
      <c r="FR277" s="134"/>
      <c r="FS277" s="134"/>
      <c r="FT277" s="134"/>
      <c r="FU277" s="134"/>
      <c r="FV277" s="134"/>
      <c r="FW277" s="134"/>
      <c r="FX277" s="134"/>
      <c r="FY277" s="134"/>
      <c r="FZ277" s="134"/>
      <c r="GA277" s="134"/>
      <c r="GB277" s="134"/>
      <c r="GC277" s="134"/>
      <c r="GD277" s="134"/>
      <c r="GE277" s="134"/>
      <c r="GF277" s="134"/>
      <c r="GG277" s="134"/>
      <c r="GH277" s="134"/>
      <c r="GI277" s="134"/>
      <c r="GJ277" s="134"/>
      <c r="GK277" s="134"/>
      <c r="GL277" s="134"/>
      <c r="GM277" s="134"/>
      <c r="GN277" s="134"/>
      <c r="GO277" s="134"/>
      <c r="GP277" s="134"/>
      <c r="GQ277" s="134"/>
      <c r="GR277" s="134"/>
      <c r="GS277" s="134"/>
      <c r="GT277" s="134"/>
      <c r="GU277" s="134"/>
      <c r="GV277" s="134"/>
      <c r="GW277" s="134"/>
      <c r="GX277" s="134"/>
      <c r="GY277" s="134"/>
      <c r="GZ277" s="134"/>
      <c r="HA277" s="134"/>
      <c r="HB277" s="134"/>
      <c r="HC277" s="134"/>
      <c r="HD277" s="134"/>
      <c r="HE277" s="134"/>
      <c r="HF277" s="134"/>
      <c r="HG277" s="134"/>
      <c r="HH277" s="134"/>
      <c r="HI277" s="134"/>
      <c r="HJ277" s="134"/>
      <c r="HK277" s="134"/>
      <c r="HL277" s="134"/>
      <c r="HM277" s="134"/>
      <c r="HN277" s="134"/>
      <c r="HO277" s="134"/>
      <c r="HP277" s="134"/>
      <c r="HQ277" s="134"/>
      <c r="HR277" s="134"/>
      <c r="HS277" s="134"/>
      <c r="HT277" s="134"/>
      <c r="HU277" s="134"/>
      <c r="HV277" s="134"/>
      <c r="HW277" s="134"/>
      <c r="HX277" s="134"/>
      <c r="HY277" s="134"/>
      <c r="HZ277" s="134"/>
      <c r="IA277" s="134"/>
      <c r="IB277" s="134"/>
      <c r="IC277" s="134"/>
      <c r="ID277" s="134"/>
      <c r="IE277" s="134"/>
      <c r="IF277" s="134"/>
      <c r="IG277" s="134"/>
      <c r="IH277" s="134"/>
      <c r="II277" s="134"/>
      <c r="IJ277" s="134"/>
      <c r="IK277" s="134"/>
      <c r="IL277" s="134"/>
      <c r="IM277" s="134"/>
      <c r="IN277" s="134"/>
      <c r="IO277" s="134"/>
      <c r="IP277" s="134"/>
      <c r="IQ277" s="134"/>
      <c r="IR277" s="134"/>
      <c r="IS277" s="134"/>
      <c r="IT277" s="134"/>
      <c r="IU277" s="134"/>
    </row>
    <row r="278" spans="1:255" ht="48" customHeight="1" x14ac:dyDescent="0.2">
      <c r="A278" s="236" t="str">
        <f>'HECVAT - Full'!A278</f>
        <v>HIPA-10</v>
      </c>
      <c r="B278" s="236" t="str">
        <f>VLOOKUP(A278,'HECVAT - Full'!A$24:B$312,2,FALSE)</f>
        <v>Does your application require user and system administrator password changes at a frequency no greater than 90 days?</v>
      </c>
      <c r="C278" s="237" t="s">
        <v>604</v>
      </c>
      <c r="D278" s="247" t="s">
        <v>2971</v>
      </c>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34"/>
      <c r="BQ278" s="134"/>
      <c r="BR278" s="134"/>
      <c r="BS278" s="134"/>
      <c r="BT278" s="134"/>
      <c r="BU278" s="134"/>
      <c r="BV278" s="134"/>
      <c r="BW278" s="134"/>
      <c r="BX278" s="134"/>
      <c r="BY278" s="134"/>
      <c r="BZ278" s="134"/>
      <c r="CA278" s="134"/>
      <c r="CB278" s="134"/>
      <c r="CC278" s="134"/>
      <c r="CD278" s="134"/>
      <c r="CE278" s="134"/>
      <c r="CF278" s="134"/>
      <c r="CG278" s="134"/>
      <c r="CH278" s="134"/>
      <c r="CI278" s="134"/>
      <c r="CJ278" s="134"/>
      <c r="CK278" s="134"/>
      <c r="CL278" s="134"/>
      <c r="CM278" s="134"/>
      <c r="CN278" s="134"/>
      <c r="CO278" s="134"/>
      <c r="CP278" s="134"/>
      <c r="CQ278" s="134"/>
      <c r="CR278" s="134"/>
      <c r="CS278" s="134"/>
      <c r="CT278" s="134"/>
      <c r="CU278" s="134"/>
      <c r="CV278" s="134"/>
      <c r="CW278" s="134"/>
      <c r="CX278" s="134"/>
      <c r="CY278" s="134"/>
      <c r="CZ278" s="134"/>
      <c r="DA278" s="134"/>
      <c r="DB278" s="134"/>
      <c r="DC278" s="134"/>
      <c r="DD278" s="134"/>
      <c r="DE278" s="134"/>
      <c r="DF278" s="134"/>
      <c r="DG278" s="134"/>
      <c r="DH278" s="134"/>
      <c r="DI278" s="134"/>
      <c r="DJ278" s="134"/>
      <c r="DK278" s="134"/>
      <c r="DL278" s="134"/>
      <c r="DM278" s="134"/>
      <c r="DN278" s="134"/>
      <c r="DO278" s="134"/>
      <c r="DP278" s="134"/>
      <c r="DQ278" s="134"/>
      <c r="DR278" s="134"/>
      <c r="DS278" s="134"/>
      <c r="DT278" s="134"/>
      <c r="DU278" s="134"/>
      <c r="DV278" s="134"/>
      <c r="DW278" s="134"/>
      <c r="DX278" s="134"/>
      <c r="DY278" s="134"/>
      <c r="DZ278" s="134"/>
      <c r="EA278" s="134"/>
      <c r="EB278" s="134"/>
      <c r="EC278" s="134"/>
      <c r="ED278" s="134"/>
      <c r="EE278" s="134"/>
      <c r="EF278" s="134"/>
      <c r="EG278" s="134"/>
      <c r="EH278" s="134"/>
      <c r="EI278" s="134"/>
      <c r="EJ278" s="134"/>
      <c r="EK278" s="134"/>
      <c r="EL278" s="134"/>
      <c r="EM278" s="134"/>
      <c r="EN278" s="134"/>
      <c r="EO278" s="134"/>
      <c r="EP278" s="134"/>
      <c r="EQ278" s="134"/>
      <c r="ER278" s="134"/>
      <c r="ES278" s="134"/>
      <c r="ET278" s="134"/>
      <c r="EU278" s="134"/>
      <c r="EV278" s="134"/>
      <c r="EW278" s="134"/>
      <c r="EX278" s="134"/>
      <c r="EY278" s="134"/>
      <c r="EZ278" s="134"/>
      <c r="FA278" s="134"/>
      <c r="FB278" s="134"/>
      <c r="FC278" s="134"/>
      <c r="FD278" s="134"/>
      <c r="FE278" s="134"/>
      <c r="FF278" s="134"/>
      <c r="FG278" s="134"/>
      <c r="FH278" s="134"/>
      <c r="FI278" s="134"/>
      <c r="FJ278" s="134"/>
      <c r="FK278" s="134"/>
      <c r="FL278" s="134"/>
      <c r="FM278" s="134"/>
      <c r="FN278" s="134"/>
      <c r="FO278" s="134"/>
      <c r="FP278" s="134"/>
      <c r="FQ278" s="134"/>
      <c r="FR278" s="134"/>
      <c r="FS278" s="134"/>
      <c r="FT278" s="134"/>
      <c r="FU278" s="134"/>
      <c r="FV278" s="134"/>
      <c r="FW278" s="134"/>
      <c r="FX278" s="134"/>
      <c r="FY278" s="134"/>
      <c r="FZ278" s="134"/>
      <c r="GA278" s="134"/>
      <c r="GB278" s="134"/>
      <c r="GC278" s="134"/>
      <c r="GD278" s="134"/>
      <c r="GE278" s="134"/>
      <c r="GF278" s="134"/>
      <c r="GG278" s="134"/>
      <c r="GH278" s="134"/>
      <c r="GI278" s="134"/>
      <c r="GJ278" s="134"/>
      <c r="GK278" s="134"/>
      <c r="GL278" s="134"/>
      <c r="GM278" s="134"/>
      <c r="GN278" s="134"/>
      <c r="GO278" s="134"/>
      <c r="GP278" s="134"/>
      <c r="GQ278" s="134"/>
      <c r="GR278" s="134"/>
      <c r="GS278" s="134"/>
      <c r="GT278" s="134"/>
      <c r="GU278" s="134"/>
      <c r="GV278" s="134"/>
      <c r="GW278" s="134"/>
      <c r="GX278" s="134"/>
      <c r="GY278" s="134"/>
      <c r="GZ278" s="134"/>
      <c r="HA278" s="134"/>
      <c r="HB278" s="134"/>
      <c r="HC278" s="134"/>
      <c r="HD278" s="134"/>
      <c r="HE278" s="134"/>
      <c r="HF278" s="134"/>
      <c r="HG278" s="134"/>
      <c r="HH278" s="134"/>
      <c r="HI278" s="134"/>
      <c r="HJ278" s="134"/>
      <c r="HK278" s="134"/>
      <c r="HL278" s="134"/>
      <c r="HM278" s="134"/>
      <c r="HN278" s="134"/>
      <c r="HO278" s="134"/>
      <c r="HP278" s="134"/>
      <c r="HQ278" s="134"/>
      <c r="HR278" s="134"/>
      <c r="HS278" s="134"/>
      <c r="HT278" s="134"/>
      <c r="HU278" s="134"/>
      <c r="HV278" s="134"/>
      <c r="HW278" s="134"/>
      <c r="HX278" s="134"/>
      <c r="HY278" s="134"/>
      <c r="HZ278" s="134"/>
      <c r="IA278" s="134"/>
      <c r="IB278" s="134"/>
      <c r="IC278" s="134"/>
      <c r="ID278" s="134"/>
      <c r="IE278" s="134"/>
      <c r="IF278" s="134"/>
      <c r="IG278" s="134"/>
      <c r="IH278" s="134"/>
      <c r="II278" s="134"/>
      <c r="IJ278" s="134"/>
      <c r="IK278" s="134"/>
      <c r="IL278" s="134"/>
      <c r="IM278" s="134"/>
      <c r="IN278" s="134"/>
      <c r="IO278" s="134"/>
      <c r="IP278" s="134"/>
      <c r="IQ278" s="134"/>
      <c r="IR278" s="134"/>
      <c r="IS278" s="134"/>
      <c r="IT278" s="134"/>
      <c r="IU278" s="134"/>
    </row>
    <row r="279" spans="1:255" ht="48" customHeight="1" x14ac:dyDescent="0.2">
      <c r="A279" s="236" t="str">
        <f>'HECVAT - Full'!A279</f>
        <v>HIPA-11</v>
      </c>
      <c r="B279" s="236" t="str">
        <f>VLOOKUP(A279,'HECVAT - Full'!A$24:B$312,2,FALSE)</f>
        <v>Does your application require a user to set their own password after an administrator reset or on first use of the account?</v>
      </c>
      <c r="C279" s="237" t="s">
        <v>604</v>
      </c>
      <c r="D279" s="247" t="s">
        <v>2971</v>
      </c>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34"/>
      <c r="BQ279" s="134"/>
      <c r="BR279" s="134"/>
      <c r="BS279" s="134"/>
      <c r="BT279" s="134"/>
      <c r="BU279" s="134"/>
      <c r="BV279" s="134"/>
      <c r="BW279" s="134"/>
      <c r="BX279" s="134"/>
      <c r="BY279" s="134"/>
      <c r="BZ279" s="134"/>
      <c r="CA279" s="134"/>
      <c r="CB279" s="134"/>
      <c r="CC279" s="134"/>
      <c r="CD279" s="134"/>
      <c r="CE279" s="134"/>
      <c r="CF279" s="134"/>
      <c r="CG279" s="134"/>
      <c r="CH279" s="134"/>
      <c r="CI279" s="134"/>
      <c r="CJ279" s="134"/>
      <c r="CK279" s="134"/>
      <c r="CL279" s="134"/>
      <c r="CM279" s="134"/>
      <c r="CN279" s="134"/>
      <c r="CO279" s="134"/>
      <c r="CP279" s="134"/>
      <c r="CQ279" s="134"/>
      <c r="CR279" s="134"/>
      <c r="CS279" s="134"/>
      <c r="CT279" s="134"/>
      <c r="CU279" s="134"/>
      <c r="CV279" s="134"/>
      <c r="CW279" s="134"/>
      <c r="CX279" s="134"/>
      <c r="CY279" s="134"/>
      <c r="CZ279" s="134"/>
      <c r="DA279" s="134"/>
      <c r="DB279" s="134"/>
      <c r="DC279" s="134"/>
      <c r="DD279" s="134"/>
      <c r="DE279" s="134"/>
      <c r="DF279" s="134"/>
      <c r="DG279" s="134"/>
      <c r="DH279" s="134"/>
      <c r="DI279" s="134"/>
      <c r="DJ279" s="134"/>
      <c r="DK279" s="134"/>
      <c r="DL279" s="134"/>
      <c r="DM279" s="134"/>
      <c r="DN279" s="134"/>
      <c r="DO279" s="134"/>
      <c r="DP279" s="134"/>
      <c r="DQ279" s="134"/>
      <c r="DR279" s="134"/>
      <c r="DS279" s="134"/>
      <c r="DT279" s="134"/>
      <c r="DU279" s="134"/>
      <c r="DV279" s="134"/>
      <c r="DW279" s="134"/>
      <c r="DX279" s="134"/>
      <c r="DY279" s="134"/>
      <c r="DZ279" s="134"/>
      <c r="EA279" s="134"/>
      <c r="EB279" s="134"/>
      <c r="EC279" s="134"/>
      <c r="ED279" s="134"/>
      <c r="EE279" s="134"/>
      <c r="EF279" s="134"/>
      <c r="EG279" s="134"/>
      <c r="EH279" s="134"/>
      <c r="EI279" s="134"/>
      <c r="EJ279" s="134"/>
      <c r="EK279" s="134"/>
      <c r="EL279" s="134"/>
      <c r="EM279" s="134"/>
      <c r="EN279" s="134"/>
      <c r="EO279" s="134"/>
      <c r="EP279" s="134"/>
      <c r="EQ279" s="134"/>
      <c r="ER279" s="134"/>
      <c r="ES279" s="134"/>
      <c r="ET279" s="134"/>
      <c r="EU279" s="134"/>
      <c r="EV279" s="134"/>
      <c r="EW279" s="134"/>
      <c r="EX279" s="134"/>
      <c r="EY279" s="134"/>
      <c r="EZ279" s="134"/>
      <c r="FA279" s="134"/>
      <c r="FB279" s="134"/>
      <c r="FC279" s="134"/>
      <c r="FD279" s="134"/>
      <c r="FE279" s="134"/>
      <c r="FF279" s="134"/>
      <c r="FG279" s="134"/>
      <c r="FH279" s="134"/>
      <c r="FI279" s="134"/>
      <c r="FJ279" s="134"/>
      <c r="FK279" s="134"/>
      <c r="FL279" s="134"/>
      <c r="FM279" s="134"/>
      <c r="FN279" s="134"/>
      <c r="FO279" s="134"/>
      <c r="FP279" s="134"/>
      <c r="FQ279" s="134"/>
      <c r="FR279" s="134"/>
      <c r="FS279" s="134"/>
      <c r="FT279" s="134"/>
      <c r="FU279" s="134"/>
      <c r="FV279" s="134"/>
      <c r="FW279" s="134"/>
      <c r="FX279" s="134"/>
      <c r="FY279" s="134"/>
      <c r="FZ279" s="134"/>
      <c r="GA279" s="134"/>
      <c r="GB279" s="134"/>
      <c r="GC279" s="134"/>
      <c r="GD279" s="134"/>
      <c r="GE279" s="134"/>
      <c r="GF279" s="134"/>
      <c r="GG279" s="134"/>
      <c r="GH279" s="134"/>
      <c r="GI279" s="134"/>
      <c r="GJ279" s="134"/>
      <c r="GK279" s="134"/>
      <c r="GL279" s="134"/>
      <c r="GM279" s="134"/>
      <c r="GN279" s="134"/>
      <c r="GO279" s="134"/>
      <c r="GP279" s="134"/>
      <c r="GQ279" s="134"/>
      <c r="GR279" s="134"/>
      <c r="GS279" s="134"/>
      <c r="GT279" s="134"/>
      <c r="GU279" s="134"/>
      <c r="GV279" s="134"/>
      <c r="GW279" s="134"/>
      <c r="GX279" s="134"/>
      <c r="GY279" s="134"/>
      <c r="GZ279" s="134"/>
      <c r="HA279" s="134"/>
      <c r="HB279" s="134"/>
      <c r="HC279" s="134"/>
      <c r="HD279" s="134"/>
      <c r="HE279" s="134"/>
      <c r="HF279" s="134"/>
      <c r="HG279" s="134"/>
      <c r="HH279" s="134"/>
      <c r="HI279" s="134"/>
      <c r="HJ279" s="134"/>
      <c r="HK279" s="134"/>
      <c r="HL279" s="134"/>
      <c r="HM279" s="134"/>
      <c r="HN279" s="134"/>
      <c r="HO279" s="134"/>
      <c r="HP279" s="134"/>
      <c r="HQ279" s="134"/>
      <c r="HR279" s="134"/>
      <c r="HS279" s="134"/>
      <c r="HT279" s="134"/>
      <c r="HU279" s="134"/>
      <c r="HV279" s="134"/>
      <c r="HW279" s="134"/>
      <c r="HX279" s="134"/>
      <c r="HY279" s="134"/>
      <c r="HZ279" s="134"/>
      <c r="IA279" s="134"/>
      <c r="IB279" s="134"/>
      <c r="IC279" s="134"/>
      <c r="ID279" s="134"/>
      <c r="IE279" s="134"/>
      <c r="IF279" s="134"/>
      <c r="IG279" s="134"/>
      <c r="IH279" s="134"/>
      <c r="II279" s="134"/>
      <c r="IJ279" s="134"/>
      <c r="IK279" s="134"/>
      <c r="IL279" s="134"/>
      <c r="IM279" s="134"/>
      <c r="IN279" s="134"/>
      <c r="IO279" s="134"/>
      <c r="IP279" s="134"/>
      <c r="IQ279" s="134"/>
      <c r="IR279" s="134"/>
      <c r="IS279" s="134"/>
      <c r="IT279" s="134"/>
      <c r="IU279" s="134"/>
    </row>
    <row r="280" spans="1:255" ht="48" customHeight="1" x14ac:dyDescent="0.2">
      <c r="A280" s="236" t="str">
        <f>'HECVAT - Full'!A280</f>
        <v>HIPA-12</v>
      </c>
      <c r="B280" s="236" t="str">
        <f>VLOOKUP(A280,'HECVAT - Full'!A$24:B$312,2,FALSE)</f>
        <v xml:space="preserve">Does your application lock-out an account after a number of failed login attempts? </v>
      </c>
      <c r="C280" s="237" t="s">
        <v>611</v>
      </c>
      <c r="D280" s="247" t="s">
        <v>2971</v>
      </c>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34"/>
      <c r="BQ280" s="134"/>
      <c r="BR280" s="134"/>
      <c r="BS280" s="134"/>
      <c r="BT280" s="134"/>
      <c r="BU280" s="134"/>
      <c r="BV280" s="134"/>
      <c r="BW280" s="134"/>
      <c r="BX280" s="134"/>
      <c r="BY280" s="134"/>
      <c r="BZ280" s="134"/>
      <c r="CA280" s="134"/>
      <c r="CB280" s="134"/>
      <c r="CC280" s="134"/>
      <c r="CD280" s="134"/>
      <c r="CE280" s="134"/>
      <c r="CF280" s="134"/>
      <c r="CG280" s="134"/>
      <c r="CH280" s="134"/>
      <c r="CI280" s="134"/>
      <c r="CJ280" s="134"/>
      <c r="CK280" s="134"/>
      <c r="CL280" s="134"/>
      <c r="CM280" s="134"/>
      <c r="CN280" s="134"/>
      <c r="CO280" s="134"/>
      <c r="CP280" s="134"/>
      <c r="CQ280" s="134"/>
      <c r="CR280" s="134"/>
      <c r="CS280" s="134"/>
      <c r="CT280" s="134"/>
      <c r="CU280" s="134"/>
      <c r="CV280" s="134"/>
      <c r="CW280" s="134"/>
      <c r="CX280" s="134"/>
      <c r="CY280" s="134"/>
      <c r="CZ280" s="134"/>
      <c r="DA280" s="134"/>
      <c r="DB280" s="134"/>
      <c r="DC280" s="134"/>
      <c r="DD280" s="134"/>
      <c r="DE280" s="134"/>
      <c r="DF280" s="134"/>
      <c r="DG280" s="134"/>
      <c r="DH280" s="134"/>
      <c r="DI280" s="134"/>
      <c r="DJ280" s="134"/>
      <c r="DK280" s="134"/>
      <c r="DL280" s="134"/>
      <c r="DM280" s="134"/>
      <c r="DN280" s="134"/>
      <c r="DO280" s="134"/>
      <c r="DP280" s="134"/>
      <c r="DQ280" s="134"/>
      <c r="DR280" s="134"/>
      <c r="DS280" s="134"/>
      <c r="DT280" s="134"/>
      <c r="DU280" s="134"/>
      <c r="DV280" s="134"/>
      <c r="DW280" s="134"/>
      <c r="DX280" s="134"/>
      <c r="DY280" s="134"/>
      <c r="DZ280" s="134"/>
      <c r="EA280" s="134"/>
      <c r="EB280" s="134"/>
      <c r="EC280" s="134"/>
      <c r="ED280" s="134"/>
      <c r="EE280" s="134"/>
      <c r="EF280" s="134"/>
      <c r="EG280" s="134"/>
      <c r="EH280" s="134"/>
      <c r="EI280" s="134"/>
      <c r="EJ280" s="134"/>
      <c r="EK280" s="134"/>
      <c r="EL280" s="134"/>
      <c r="EM280" s="134"/>
      <c r="EN280" s="134"/>
      <c r="EO280" s="134"/>
      <c r="EP280" s="134"/>
      <c r="EQ280" s="134"/>
      <c r="ER280" s="134"/>
      <c r="ES280" s="134"/>
      <c r="ET280" s="134"/>
      <c r="EU280" s="134"/>
      <c r="EV280" s="134"/>
      <c r="EW280" s="134"/>
      <c r="EX280" s="134"/>
      <c r="EY280" s="134"/>
      <c r="EZ280" s="134"/>
      <c r="FA280" s="134"/>
      <c r="FB280" s="134"/>
      <c r="FC280" s="134"/>
      <c r="FD280" s="134"/>
      <c r="FE280" s="134"/>
      <c r="FF280" s="134"/>
      <c r="FG280" s="134"/>
      <c r="FH280" s="134"/>
      <c r="FI280" s="134"/>
      <c r="FJ280" s="134"/>
      <c r="FK280" s="134"/>
      <c r="FL280" s="134"/>
      <c r="FM280" s="134"/>
      <c r="FN280" s="134"/>
      <c r="FO280" s="134"/>
      <c r="FP280" s="134"/>
      <c r="FQ280" s="134"/>
      <c r="FR280" s="134"/>
      <c r="FS280" s="134"/>
      <c r="FT280" s="134"/>
      <c r="FU280" s="134"/>
      <c r="FV280" s="134"/>
      <c r="FW280" s="134"/>
      <c r="FX280" s="134"/>
      <c r="FY280" s="134"/>
      <c r="FZ280" s="134"/>
      <c r="GA280" s="134"/>
      <c r="GB280" s="134"/>
      <c r="GC280" s="134"/>
      <c r="GD280" s="134"/>
      <c r="GE280" s="134"/>
      <c r="GF280" s="134"/>
      <c r="GG280" s="134"/>
      <c r="GH280" s="134"/>
      <c r="GI280" s="134"/>
      <c r="GJ280" s="134"/>
      <c r="GK280" s="134"/>
      <c r="GL280" s="134"/>
      <c r="GM280" s="134"/>
      <c r="GN280" s="134"/>
      <c r="GO280" s="134"/>
      <c r="GP280" s="134"/>
      <c r="GQ280" s="134"/>
      <c r="GR280" s="134"/>
      <c r="GS280" s="134"/>
      <c r="GT280" s="134"/>
      <c r="GU280" s="134"/>
      <c r="GV280" s="134"/>
      <c r="GW280" s="134"/>
      <c r="GX280" s="134"/>
      <c r="GY280" s="134"/>
      <c r="GZ280" s="134"/>
      <c r="HA280" s="134"/>
      <c r="HB280" s="134"/>
      <c r="HC280" s="134"/>
      <c r="HD280" s="134"/>
      <c r="HE280" s="134"/>
      <c r="HF280" s="134"/>
      <c r="HG280" s="134"/>
      <c r="HH280" s="134"/>
      <c r="HI280" s="134"/>
      <c r="HJ280" s="134"/>
      <c r="HK280" s="134"/>
      <c r="HL280" s="134"/>
      <c r="HM280" s="134"/>
      <c r="HN280" s="134"/>
      <c r="HO280" s="134"/>
      <c r="HP280" s="134"/>
      <c r="HQ280" s="134"/>
      <c r="HR280" s="134"/>
      <c r="HS280" s="134"/>
      <c r="HT280" s="134"/>
      <c r="HU280" s="134"/>
      <c r="HV280" s="134"/>
      <c r="HW280" s="134"/>
      <c r="HX280" s="134"/>
      <c r="HY280" s="134"/>
      <c r="HZ280" s="134"/>
      <c r="IA280" s="134"/>
      <c r="IB280" s="134"/>
      <c r="IC280" s="134"/>
      <c r="ID280" s="134"/>
      <c r="IE280" s="134"/>
      <c r="IF280" s="134"/>
      <c r="IG280" s="134"/>
      <c r="IH280" s="134"/>
      <c r="II280" s="134"/>
      <c r="IJ280" s="134"/>
      <c r="IK280" s="134"/>
      <c r="IL280" s="134"/>
      <c r="IM280" s="134"/>
      <c r="IN280" s="134"/>
      <c r="IO280" s="134"/>
      <c r="IP280" s="134"/>
      <c r="IQ280" s="134"/>
      <c r="IR280" s="134"/>
      <c r="IS280" s="134"/>
      <c r="IT280" s="134"/>
      <c r="IU280" s="134"/>
    </row>
    <row r="281" spans="1:255" ht="48" customHeight="1" x14ac:dyDescent="0.2">
      <c r="A281" s="236" t="str">
        <f>'HECVAT - Full'!A281</f>
        <v>HIPA-13</v>
      </c>
      <c r="B281" s="236" t="str">
        <f>VLOOKUP(A281,'HECVAT - Full'!A$24:B$312,2,FALSE)</f>
        <v>Does your application automatically lock or log-out an account after a period of inactivity?</v>
      </c>
      <c r="C281" s="237" t="s">
        <v>612</v>
      </c>
      <c r="D281" s="247" t="s">
        <v>2971</v>
      </c>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34"/>
      <c r="BQ281" s="134"/>
      <c r="BR281" s="134"/>
      <c r="BS281" s="134"/>
      <c r="BT281" s="134"/>
      <c r="BU281" s="134"/>
      <c r="BV281" s="134"/>
      <c r="BW281" s="134"/>
      <c r="BX281" s="134"/>
      <c r="BY281" s="134"/>
      <c r="BZ281" s="134"/>
      <c r="CA281" s="134"/>
      <c r="CB281" s="134"/>
      <c r="CC281" s="134"/>
      <c r="CD281" s="134"/>
      <c r="CE281" s="134"/>
      <c r="CF281" s="134"/>
      <c r="CG281" s="134"/>
      <c r="CH281" s="134"/>
      <c r="CI281" s="134"/>
      <c r="CJ281" s="134"/>
      <c r="CK281" s="134"/>
      <c r="CL281" s="134"/>
      <c r="CM281" s="134"/>
      <c r="CN281" s="134"/>
      <c r="CO281" s="134"/>
      <c r="CP281" s="134"/>
      <c r="CQ281" s="134"/>
      <c r="CR281" s="134"/>
      <c r="CS281" s="134"/>
      <c r="CT281" s="134"/>
      <c r="CU281" s="134"/>
      <c r="CV281" s="134"/>
      <c r="CW281" s="134"/>
      <c r="CX281" s="134"/>
      <c r="CY281" s="134"/>
      <c r="CZ281" s="134"/>
      <c r="DA281" s="134"/>
      <c r="DB281" s="134"/>
      <c r="DC281" s="134"/>
      <c r="DD281" s="134"/>
      <c r="DE281" s="134"/>
      <c r="DF281" s="134"/>
      <c r="DG281" s="134"/>
      <c r="DH281" s="134"/>
      <c r="DI281" s="134"/>
      <c r="DJ281" s="134"/>
      <c r="DK281" s="134"/>
      <c r="DL281" s="134"/>
      <c r="DM281" s="134"/>
      <c r="DN281" s="134"/>
      <c r="DO281" s="134"/>
      <c r="DP281" s="134"/>
      <c r="DQ281" s="134"/>
      <c r="DR281" s="134"/>
      <c r="DS281" s="134"/>
      <c r="DT281" s="134"/>
      <c r="DU281" s="134"/>
      <c r="DV281" s="134"/>
      <c r="DW281" s="134"/>
      <c r="DX281" s="134"/>
      <c r="DY281" s="134"/>
      <c r="DZ281" s="134"/>
      <c r="EA281" s="134"/>
      <c r="EB281" s="134"/>
      <c r="EC281" s="134"/>
      <c r="ED281" s="134"/>
      <c r="EE281" s="134"/>
      <c r="EF281" s="134"/>
      <c r="EG281" s="134"/>
      <c r="EH281" s="134"/>
      <c r="EI281" s="134"/>
      <c r="EJ281" s="134"/>
      <c r="EK281" s="134"/>
      <c r="EL281" s="134"/>
      <c r="EM281" s="134"/>
      <c r="EN281" s="134"/>
      <c r="EO281" s="134"/>
      <c r="EP281" s="134"/>
      <c r="EQ281" s="134"/>
      <c r="ER281" s="134"/>
      <c r="ES281" s="134"/>
      <c r="ET281" s="134"/>
      <c r="EU281" s="134"/>
      <c r="EV281" s="134"/>
      <c r="EW281" s="134"/>
      <c r="EX281" s="134"/>
      <c r="EY281" s="134"/>
      <c r="EZ281" s="134"/>
      <c r="FA281" s="134"/>
      <c r="FB281" s="134"/>
      <c r="FC281" s="134"/>
      <c r="FD281" s="134"/>
      <c r="FE281" s="134"/>
      <c r="FF281" s="134"/>
      <c r="FG281" s="134"/>
      <c r="FH281" s="134"/>
      <c r="FI281" s="134"/>
      <c r="FJ281" s="134"/>
      <c r="FK281" s="134"/>
      <c r="FL281" s="134"/>
      <c r="FM281" s="134"/>
      <c r="FN281" s="134"/>
      <c r="FO281" s="134"/>
      <c r="FP281" s="134"/>
      <c r="FQ281" s="134"/>
      <c r="FR281" s="134"/>
      <c r="FS281" s="134"/>
      <c r="FT281" s="134"/>
      <c r="FU281" s="134"/>
      <c r="FV281" s="134"/>
      <c r="FW281" s="134"/>
      <c r="FX281" s="134"/>
      <c r="FY281" s="134"/>
      <c r="FZ281" s="134"/>
      <c r="GA281" s="134"/>
      <c r="GB281" s="134"/>
      <c r="GC281" s="134"/>
      <c r="GD281" s="134"/>
      <c r="GE281" s="134"/>
      <c r="GF281" s="134"/>
      <c r="GG281" s="134"/>
      <c r="GH281" s="134"/>
      <c r="GI281" s="134"/>
      <c r="GJ281" s="134"/>
      <c r="GK281" s="134"/>
      <c r="GL281" s="134"/>
      <c r="GM281" s="134"/>
      <c r="GN281" s="134"/>
      <c r="GO281" s="134"/>
      <c r="GP281" s="134"/>
      <c r="GQ281" s="134"/>
      <c r="GR281" s="134"/>
      <c r="GS281" s="134"/>
      <c r="GT281" s="134"/>
      <c r="GU281" s="134"/>
      <c r="GV281" s="134"/>
      <c r="GW281" s="134"/>
      <c r="GX281" s="134"/>
      <c r="GY281" s="134"/>
      <c r="GZ281" s="134"/>
      <c r="HA281" s="134"/>
      <c r="HB281" s="134"/>
      <c r="HC281" s="134"/>
      <c r="HD281" s="134"/>
      <c r="HE281" s="134"/>
      <c r="HF281" s="134"/>
      <c r="HG281" s="134"/>
      <c r="HH281" s="134"/>
      <c r="HI281" s="134"/>
      <c r="HJ281" s="134"/>
      <c r="HK281" s="134"/>
      <c r="HL281" s="134"/>
      <c r="HM281" s="134"/>
      <c r="HN281" s="134"/>
      <c r="HO281" s="134"/>
      <c r="HP281" s="134"/>
      <c r="HQ281" s="134"/>
      <c r="HR281" s="134"/>
      <c r="HS281" s="134"/>
      <c r="HT281" s="134"/>
      <c r="HU281" s="134"/>
      <c r="HV281" s="134"/>
      <c r="HW281" s="134"/>
      <c r="HX281" s="134"/>
      <c r="HY281" s="134"/>
      <c r="HZ281" s="134"/>
      <c r="IA281" s="134"/>
      <c r="IB281" s="134"/>
      <c r="IC281" s="134"/>
      <c r="ID281" s="134"/>
      <c r="IE281" s="134"/>
      <c r="IF281" s="134"/>
      <c r="IG281" s="134"/>
      <c r="IH281" s="134"/>
      <c r="II281" s="134"/>
      <c r="IJ281" s="134"/>
      <c r="IK281" s="134"/>
      <c r="IL281" s="134"/>
      <c r="IM281" s="134"/>
      <c r="IN281" s="134"/>
      <c r="IO281" s="134"/>
      <c r="IP281" s="134"/>
      <c r="IQ281" s="134"/>
      <c r="IR281" s="134"/>
      <c r="IS281" s="134"/>
      <c r="IT281" s="134"/>
      <c r="IU281" s="134"/>
    </row>
    <row r="282" spans="1:255" ht="48" customHeight="1" x14ac:dyDescent="0.2">
      <c r="A282" s="236" t="str">
        <f>'HECVAT - Full'!A282</f>
        <v>HIPA-14</v>
      </c>
      <c r="B282" s="236" t="str">
        <f>VLOOKUP(A282,'HECVAT - Full'!A$24:B$312,2,FALSE)</f>
        <v>Are passwords visible in plain text, whether when stored or entered, including service level accounts (i.e. database accounts, etc.)?</v>
      </c>
      <c r="C282" s="237" t="s">
        <v>695</v>
      </c>
      <c r="D282" s="247" t="s">
        <v>2971</v>
      </c>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34"/>
      <c r="BQ282" s="134"/>
      <c r="BR282" s="134"/>
      <c r="BS282" s="134"/>
      <c r="BT282" s="134"/>
      <c r="BU282" s="134"/>
      <c r="BV282" s="134"/>
      <c r="BW282" s="134"/>
      <c r="BX282" s="134"/>
      <c r="BY282" s="134"/>
      <c r="BZ282" s="134"/>
      <c r="CA282" s="134"/>
      <c r="CB282" s="134"/>
      <c r="CC282" s="134"/>
      <c r="CD282" s="134"/>
      <c r="CE282" s="134"/>
      <c r="CF282" s="134"/>
      <c r="CG282" s="134"/>
      <c r="CH282" s="134"/>
      <c r="CI282" s="134"/>
      <c r="CJ282" s="134"/>
      <c r="CK282" s="134"/>
      <c r="CL282" s="134"/>
      <c r="CM282" s="134"/>
      <c r="CN282" s="134"/>
      <c r="CO282" s="134"/>
      <c r="CP282" s="134"/>
      <c r="CQ282" s="134"/>
      <c r="CR282" s="134"/>
      <c r="CS282" s="134"/>
      <c r="CT282" s="134"/>
      <c r="CU282" s="134"/>
      <c r="CV282" s="134"/>
      <c r="CW282" s="134"/>
      <c r="CX282" s="134"/>
      <c r="CY282" s="134"/>
      <c r="CZ282" s="134"/>
      <c r="DA282" s="134"/>
      <c r="DB282" s="134"/>
      <c r="DC282" s="134"/>
      <c r="DD282" s="134"/>
      <c r="DE282" s="134"/>
      <c r="DF282" s="134"/>
      <c r="DG282" s="134"/>
      <c r="DH282" s="134"/>
      <c r="DI282" s="134"/>
      <c r="DJ282" s="134"/>
      <c r="DK282" s="134"/>
      <c r="DL282" s="134"/>
      <c r="DM282" s="134"/>
      <c r="DN282" s="134"/>
      <c r="DO282" s="134"/>
      <c r="DP282" s="134"/>
      <c r="DQ282" s="134"/>
      <c r="DR282" s="134"/>
      <c r="DS282" s="134"/>
      <c r="DT282" s="134"/>
      <c r="DU282" s="134"/>
      <c r="DV282" s="134"/>
      <c r="DW282" s="134"/>
      <c r="DX282" s="134"/>
      <c r="DY282" s="134"/>
      <c r="DZ282" s="134"/>
      <c r="EA282" s="134"/>
      <c r="EB282" s="134"/>
      <c r="EC282" s="134"/>
      <c r="ED282" s="134"/>
      <c r="EE282" s="134"/>
      <c r="EF282" s="134"/>
      <c r="EG282" s="134"/>
      <c r="EH282" s="134"/>
      <c r="EI282" s="134"/>
      <c r="EJ282" s="134"/>
      <c r="EK282" s="134"/>
      <c r="EL282" s="134"/>
      <c r="EM282" s="134"/>
      <c r="EN282" s="134"/>
      <c r="EO282" s="134"/>
      <c r="EP282" s="134"/>
      <c r="EQ282" s="134"/>
      <c r="ER282" s="134"/>
      <c r="ES282" s="134"/>
      <c r="ET282" s="134"/>
      <c r="EU282" s="134"/>
      <c r="EV282" s="134"/>
      <c r="EW282" s="134"/>
      <c r="EX282" s="134"/>
      <c r="EY282" s="134"/>
      <c r="EZ282" s="134"/>
      <c r="FA282" s="134"/>
      <c r="FB282" s="134"/>
      <c r="FC282" s="134"/>
      <c r="FD282" s="134"/>
      <c r="FE282" s="134"/>
      <c r="FF282" s="134"/>
      <c r="FG282" s="134"/>
      <c r="FH282" s="134"/>
      <c r="FI282" s="134"/>
      <c r="FJ282" s="134"/>
      <c r="FK282" s="134"/>
      <c r="FL282" s="134"/>
      <c r="FM282" s="134"/>
      <c r="FN282" s="134"/>
      <c r="FO282" s="134"/>
      <c r="FP282" s="134"/>
      <c r="FQ282" s="134"/>
      <c r="FR282" s="134"/>
      <c r="FS282" s="134"/>
      <c r="FT282" s="134"/>
      <c r="FU282" s="134"/>
      <c r="FV282" s="134"/>
      <c r="FW282" s="134"/>
      <c r="FX282" s="134"/>
      <c r="FY282" s="134"/>
      <c r="FZ282" s="134"/>
      <c r="GA282" s="134"/>
      <c r="GB282" s="134"/>
      <c r="GC282" s="134"/>
      <c r="GD282" s="134"/>
      <c r="GE282" s="134"/>
      <c r="GF282" s="134"/>
      <c r="GG282" s="134"/>
      <c r="GH282" s="134"/>
      <c r="GI282" s="134"/>
      <c r="GJ282" s="134"/>
      <c r="GK282" s="134"/>
      <c r="GL282" s="134"/>
      <c r="GM282" s="134"/>
      <c r="GN282" s="134"/>
      <c r="GO282" s="134"/>
      <c r="GP282" s="134"/>
      <c r="GQ282" s="134"/>
      <c r="GR282" s="134"/>
      <c r="GS282" s="134"/>
      <c r="GT282" s="134"/>
      <c r="GU282" s="134"/>
      <c r="GV282" s="134"/>
      <c r="GW282" s="134"/>
      <c r="GX282" s="134"/>
      <c r="GY282" s="134"/>
      <c r="GZ282" s="134"/>
      <c r="HA282" s="134"/>
      <c r="HB282" s="134"/>
      <c r="HC282" s="134"/>
      <c r="HD282" s="134"/>
      <c r="HE282" s="134"/>
      <c r="HF282" s="134"/>
      <c r="HG282" s="134"/>
      <c r="HH282" s="134"/>
      <c r="HI282" s="134"/>
      <c r="HJ282" s="134"/>
      <c r="HK282" s="134"/>
      <c r="HL282" s="134"/>
      <c r="HM282" s="134"/>
      <c r="HN282" s="134"/>
      <c r="HO282" s="134"/>
      <c r="HP282" s="134"/>
      <c r="HQ282" s="134"/>
      <c r="HR282" s="134"/>
      <c r="HS282" s="134"/>
      <c r="HT282" s="134"/>
      <c r="HU282" s="134"/>
      <c r="HV282" s="134"/>
      <c r="HW282" s="134"/>
      <c r="HX282" s="134"/>
      <c r="HY282" s="134"/>
      <c r="HZ282" s="134"/>
      <c r="IA282" s="134"/>
      <c r="IB282" s="134"/>
      <c r="IC282" s="134"/>
      <c r="ID282" s="134"/>
      <c r="IE282" s="134"/>
      <c r="IF282" s="134"/>
      <c r="IG282" s="134"/>
      <c r="IH282" s="134"/>
      <c r="II282" s="134"/>
      <c r="IJ282" s="134"/>
      <c r="IK282" s="134"/>
      <c r="IL282" s="134"/>
      <c r="IM282" s="134"/>
      <c r="IN282" s="134"/>
      <c r="IO282" s="134"/>
      <c r="IP282" s="134"/>
      <c r="IQ282" s="134"/>
      <c r="IR282" s="134"/>
      <c r="IS282" s="134"/>
      <c r="IT282" s="134"/>
      <c r="IU282" s="134"/>
    </row>
    <row r="283" spans="1:255" ht="48" customHeight="1" x14ac:dyDescent="0.2">
      <c r="A283" s="236" t="str">
        <f>'HECVAT - Full'!A283</f>
        <v>HIPA-15</v>
      </c>
      <c r="B283" s="236" t="str">
        <f>VLOOKUP(A283,'HECVAT - Full'!A$24:B$312,2,FALSE)</f>
        <v>If the application is institution-hosted, can all service level and administrative account passwords be changed by the institution?</v>
      </c>
      <c r="C283" s="237" t="s">
        <v>695</v>
      </c>
      <c r="D283" s="247" t="s">
        <v>2971</v>
      </c>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4"/>
      <c r="BR283" s="134"/>
      <c r="BS283" s="134"/>
      <c r="BT283" s="134"/>
      <c r="BU283" s="134"/>
      <c r="BV283" s="134"/>
      <c r="BW283" s="134"/>
      <c r="BX283" s="134"/>
      <c r="BY283" s="134"/>
      <c r="BZ283" s="134"/>
      <c r="CA283" s="134"/>
      <c r="CB283" s="134"/>
      <c r="CC283" s="134"/>
      <c r="CD283" s="134"/>
      <c r="CE283" s="134"/>
      <c r="CF283" s="134"/>
      <c r="CG283" s="134"/>
      <c r="CH283" s="134"/>
      <c r="CI283" s="134"/>
      <c r="CJ283" s="134"/>
      <c r="CK283" s="134"/>
      <c r="CL283" s="134"/>
      <c r="CM283" s="134"/>
      <c r="CN283" s="134"/>
      <c r="CO283" s="134"/>
      <c r="CP283" s="134"/>
      <c r="CQ283" s="134"/>
      <c r="CR283" s="134"/>
      <c r="CS283" s="134"/>
      <c r="CT283" s="134"/>
      <c r="CU283" s="134"/>
      <c r="CV283" s="134"/>
      <c r="CW283" s="134"/>
      <c r="CX283" s="134"/>
      <c r="CY283" s="134"/>
      <c r="CZ283" s="134"/>
      <c r="DA283" s="134"/>
      <c r="DB283" s="134"/>
      <c r="DC283" s="134"/>
      <c r="DD283" s="134"/>
      <c r="DE283" s="134"/>
      <c r="DF283" s="134"/>
      <c r="DG283" s="134"/>
      <c r="DH283" s="134"/>
      <c r="DI283" s="134"/>
      <c r="DJ283" s="134"/>
      <c r="DK283" s="134"/>
      <c r="DL283" s="134"/>
      <c r="DM283" s="134"/>
      <c r="DN283" s="134"/>
      <c r="DO283" s="134"/>
      <c r="DP283" s="134"/>
      <c r="DQ283" s="134"/>
      <c r="DR283" s="134"/>
      <c r="DS283" s="134"/>
      <c r="DT283" s="134"/>
      <c r="DU283" s="134"/>
      <c r="DV283" s="134"/>
      <c r="DW283" s="134"/>
      <c r="DX283" s="134"/>
      <c r="DY283" s="134"/>
      <c r="DZ283" s="134"/>
      <c r="EA283" s="134"/>
      <c r="EB283" s="134"/>
      <c r="EC283" s="134"/>
      <c r="ED283" s="134"/>
      <c r="EE283" s="134"/>
      <c r="EF283" s="134"/>
      <c r="EG283" s="134"/>
      <c r="EH283" s="134"/>
      <c r="EI283" s="134"/>
      <c r="EJ283" s="134"/>
      <c r="EK283" s="134"/>
      <c r="EL283" s="134"/>
      <c r="EM283" s="134"/>
      <c r="EN283" s="134"/>
      <c r="EO283" s="134"/>
      <c r="EP283" s="134"/>
      <c r="EQ283" s="134"/>
      <c r="ER283" s="134"/>
      <c r="ES283" s="134"/>
      <c r="ET283" s="134"/>
      <c r="EU283" s="134"/>
      <c r="EV283" s="134"/>
      <c r="EW283" s="134"/>
      <c r="EX283" s="134"/>
      <c r="EY283" s="134"/>
      <c r="EZ283" s="134"/>
      <c r="FA283" s="134"/>
      <c r="FB283" s="134"/>
      <c r="FC283" s="134"/>
      <c r="FD283" s="134"/>
      <c r="FE283" s="134"/>
      <c r="FF283" s="134"/>
      <c r="FG283" s="134"/>
      <c r="FH283" s="134"/>
      <c r="FI283" s="134"/>
      <c r="FJ283" s="134"/>
      <c r="FK283" s="134"/>
      <c r="FL283" s="134"/>
      <c r="FM283" s="134"/>
      <c r="FN283" s="134"/>
      <c r="FO283" s="134"/>
      <c r="FP283" s="134"/>
      <c r="FQ283" s="134"/>
      <c r="FR283" s="134"/>
      <c r="FS283" s="134"/>
      <c r="FT283" s="134"/>
      <c r="FU283" s="134"/>
      <c r="FV283" s="134"/>
      <c r="FW283" s="134"/>
      <c r="FX283" s="134"/>
      <c r="FY283" s="134"/>
      <c r="FZ283" s="134"/>
      <c r="GA283" s="134"/>
      <c r="GB283" s="134"/>
      <c r="GC283" s="134"/>
      <c r="GD283" s="134"/>
      <c r="GE283" s="134"/>
      <c r="GF283" s="134"/>
      <c r="GG283" s="134"/>
      <c r="GH283" s="134"/>
      <c r="GI283" s="134"/>
      <c r="GJ283" s="134"/>
      <c r="GK283" s="134"/>
      <c r="GL283" s="134"/>
      <c r="GM283" s="134"/>
      <c r="GN283" s="134"/>
      <c r="GO283" s="134"/>
      <c r="GP283" s="134"/>
      <c r="GQ283" s="134"/>
      <c r="GR283" s="134"/>
      <c r="GS283" s="134"/>
      <c r="GT283" s="134"/>
      <c r="GU283" s="134"/>
      <c r="GV283" s="134"/>
      <c r="GW283" s="134"/>
      <c r="GX283" s="134"/>
      <c r="GY283" s="134"/>
      <c r="GZ283" s="134"/>
      <c r="HA283" s="134"/>
      <c r="HB283" s="134"/>
      <c r="HC283" s="134"/>
      <c r="HD283" s="134"/>
      <c r="HE283" s="134"/>
      <c r="HF283" s="134"/>
      <c r="HG283" s="134"/>
      <c r="HH283" s="134"/>
      <c r="HI283" s="134"/>
      <c r="HJ283" s="134"/>
      <c r="HK283" s="134"/>
      <c r="HL283" s="134"/>
      <c r="HM283" s="134"/>
      <c r="HN283" s="134"/>
      <c r="HO283" s="134"/>
      <c r="HP283" s="134"/>
      <c r="HQ283" s="134"/>
      <c r="HR283" s="134"/>
      <c r="HS283" s="134"/>
      <c r="HT283" s="134"/>
      <c r="HU283" s="134"/>
      <c r="HV283" s="134"/>
      <c r="HW283" s="134"/>
      <c r="HX283" s="134"/>
      <c r="HY283" s="134"/>
      <c r="HZ283" s="134"/>
      <c r="IA283" s="134"/>
      <c r="IB283" s="134"/>
      <c r="IC283" s="134"/>
      <c r="ID283" s="134"/>
      <c r="IE283" s="134"/>
      <c r="IF283" s="134"/>
      <c r="IG283" s="134"/>
      <c r="IH283" s="134"/>
      <c r="II283" s="134"/>
      <c r="IJ283" s="134"/>
      <c r="IK283" s="134"/>
      <c r="IL283" s="134"/>
      <c r="IM283" s="134"/>
      <c r="IN283" s="134"/>
      <c r="IO283" s="134"/>
      <c r="IP283" s="134"/>
      <c r="IQ283" s="134"/>
      <c r="IR283" s="134"/>
      <c r="IS283" s="134"/>
      <c r="IT283" s="134"/>
      <c r="IU283" s="134"/>
    </row>
    <row r="284" spans="1:255" ht="48" customHeight="1" x14ac:dyDescent="0.2">
      <c r="A284" s="236" t="str">
        <f>'HECVAT - Full'!A284</f>
        <v>HIPA-16</v>
      </c>
      <c r="B284" s="236" t="str">
        <f>VLOOKUP(A284,'HECVAT - Full'!A$24:B$312,2,FALSE)</f>
        <v>Does your application provide the ability to define user access levels?</v>
      </c>
      <c r="C284" s="237" t="s">
        <v>692</v>
      </c>
      <c r="D284" s="247" t="s">
        <v>2971</v>
      </c>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4"/>
      <c r="BR284" s="134"/>
      <c r="BS284" s="134"/>
      <c r="BT284" s="134"/>
      <c r="BU284" s="134"/>
      <c r="BV284" s="134"/>
      <c r="BW284" s="134"/>
      <c r="BX284" s="134"/>
      <c r="BY284" s="134"/>
      <c r="BZ284" s="134"/>
      <c r="CA284" s="134"/>
      <c r="CB284" s="134"/>
      <c r="CC284" s="134"/>
      <c r="CD284" s="134"/>
      <c r="CE284" s="134"/>
      <c r="CF284" s="134"/>
      <c r="CG284" s="134"/>
      <c r="CH284" s="134"/>
      <c r="CI284" s="134"/>
      <c r="CJ284" s="134"/>
      <c r="CK284" s="134"/>
      <c r="CL284" s="134"/>
      <c r="CM284" s="134"/>
      <c r="CN284" s="134"/>
      <c r="CO284" s="134"/>
      <c r="CP284" s="134"/>
      <c r="CQ284" s="134"/>
      <c r="CR284" s="134"/>
      <c r="CS284" s="134"/>
      <c r="CT284" s="134"/>
      <c r="CU284" s="134"/>
      <c r="CV284" s="134"/>
      <c r="CW284" s="134"/>
      <c r="CX284" s="134"/>
      <c r="CY284" s="134"/>
      <c r="CZ284" s="134"/>
      <c r="DA284" s="134"/>
      <c r="DB284" s="134"/>
      <c r="DC284" s="134"/>
      <c r="DD284" s="134"/>
      <c r="DE284" s="134"/>
      <c r="DF284" s="134"/>
      <c r="DG284" s="134"/>
      <c r="DH284" s="134"/>
      <c r="DI284" s="134"/>
      <c r="DJ284" s="134"/>
      <c r="DK284" s="134"/>
      <c r="DL284" s="134"/>
      <c r="DM284" s="134"/>
      <c r="DN284" s="134"/>
      <c r="DO284" s="134"/>
      <c r="DP284" s="134"/>
      <c r="DQ284" s="134"/>
      <c r="DR284" s="134"/>
      <c r="DS284" s="134"/>
      <c r="DT284" s="134"/>
      <c r="DU284" s="134"/>
      <c r="DV284" s="134"/>
      <c r="DW284" s="134"/>
      <c r="DX284" s="134"/>
      <c r="DY284" s="134"/>
      <c r="DZ284" s="134"/>
      <c r="EA284" s="134"/>
      <c r="EB284" s="134"/>
      <c r="EC284" s="134"/>
      <c r="ED284" s="134"/>
      <c r="EE284" s="134"/>
      <c r="EF284" s="134"/>
      <c r="EG284" s="134"/>
      <c r="EH284" s="134"/>
      <c r="EI284" s="134"/>
      <c r="EJ284" s="134"/>
      <c r="EK284" s="134"/>
      <c r="EL284" s="134"/>
      <c r="EM284" s="134"/>
      <c r="EN284" s="134"/>
      <c r="EO284" s="134"/>
      <c r="EP284" s="134"/>
      <c r="EQ284" s="134"/>
      <c r="ER284" s="134"/>
      <c r="ES284" s="134"/>
      <c r="ET284" s="134"/>
      <c r="EU284" s="134"/>
      <c r="EV284" s="134"/>
      <c r="EW284" s="134"/>
      <c r="EX284" s="134"/>
      <c r="EY284" s="134"/>
      <c r="EZ284" s="134"/>
      <c r="FA284" s="134"/>
      <c r="FB284" s="134"/>
      <c r="FC284" s="134"/>
      <c r="FD284" s="134"/>
      <c r="FE284" s="134"/>
      <c r="FF284" s="134"/>
      <c r="FG284" s="134"/>
      <c r="FH284" s="134"/>
      <c r="FI284" s="134"/>
      <c r="FJ284" s="134"/>
      <c r="FK284" s="134"/>
      <c r="FL284" s="134"/>
      <c r="FM284" s="134"/>
      <c r="FN284" s="134"/>
      <c r="FO284" s="134"/>
      <c r="FP284" s="134"/>
      <c r="FQ284" s="134"/>
      <c r="FR284" s="134"/>
      <c r="FS284" s="134"/>
      <c r="FT284" s="134"/>
      <c r="FU284" s="134"/>
      <c r="FV284" s="134"/>
      <c r="FW284" s="134"/>
      <c r="FX284" s="134"/>
      <c r="FY284" s="134"/>
      <c r="FZ284" s="134"/>
      <c r="GA284" s="134"/>
      <c r="GB284" s="134"/>
      <c r="GC284" s="134"/>
      <c r="GD284" s="134"/>
      <c r="GE284" s="134"/>
      <c r="GF284" s="134"/>
      <c r="GG284" s="134"/>
      <c r="GH284" s="134"/>
      <c r="GI284" s="134"/>
      <c r="GJ284" s="134"/>
      <c r="GK284" s="134"/>
      <c r="GL284" s="134"/>
      <c r="GM284" s="134"/>
      <c r="GN284" s="134"/>
      <c r="GO284" s="134"/>
      <c r="GP284" s="134"/>
      <c r="GQ284" s="134"/>
      <c r="GR284" s="134"/>
      <c r="GS284" s="134"/>
      <c r="GT284" s="134"/>
      <c r="GU284" s="134"/>
      <c r="GV284" s="134"/>
      <c r="GW284" s="134"/>
      <c r="GX284" s="134"/>
      <c r="GY284" s="134"/>
      <c r="GZ284" s="134"/>
      <c r="HA284" s="134"/>
      <c r="HB284" s="134"/>
      <c r="HC284" s="134"/>
      <c r="HD284" s="134"/>
      <c r="HE284" s="134"/>
      <c r="HF284" s="134"/>
      <c r="HG284" s="134"/>
      <c r="HH284" s="134"/>
      <c r="HI284" s="134"/>
      <c r="HJ284" s="134"/>
      <c r="HK284" s="134"/>
      <c r="HL284" s="134"/>
      <c r="HM284" s="134"/>
      <c r="HN284" s="134"/>
      <c r="HO284" s="134"/>
      <c r="HP284" s="134"/>
      <c r="HQ284" s="134"/>
      <c r="HR284" s="134"/>
      <c r="HS284" s="134"/>
      <c r="HT284" s="134"/>
      <c r="HU284" s="134"/>
      <c r="HV284" s="134"/>
      <c r="HW284" s="134"/>
      <c r="HX284" s="134"/>
      <c r="HY284" s="134"/>
      <c r="HZ284" s="134"/>
      <c r="IA284" s="134"/>
      <c r="IB284" s="134"/>
      <c r="IC284" s="134"/>
      <c r="ID284" s="134"/>
      <c r="IE284" s="134"/>
      <c r="IF284" s="134"/>
      <c r="IG284" s="134"/>
      <c r="IH284" s="134"/>
      <c r="II284" s="134"/>
      <c r="IJ284" s="134"/>
      <c r="IK284" s="134"/>
      <c r="IL284" s="134"/>
      <c r="IM284" s="134"/>
      <c r="IN284" s="134"/>
      <c r="IO284" s="134"/>
      <c r="IP284" s="134"/>
      <c r="IQ284" s="134"/>
      <c r="IR284" s="134"/>
      <c r="IS284" s="134"/>
      <c r="IT284" s="134"/>
      <c r="IU284" s="134"/>
    </row>
    <row r="285" spans="1:255" ht="48" customHeight="1" x14ac:dyDescent="0.2">
      <c r="A285" s="236" t="str">
        <f>'HECVAT - Full'!A285</f>
        <v>HIPA-17</v>
      </c>
      <c r="B285" s="236" t="str">
        <f>VLOOKUP(A285,'HECVAT - Full'!A$24:B$312,2,FALSE)</f>
        <v>Does your application support varying levels of access to administrative tasks defined individually per user?</v>
      </c>
      <c r="C285" s="237" t="s">
        <v>690</v>
      </c>
      <c r="D285" s="247" t="s">
        <v>2971</v>
      </c>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134"/>
      <c r="CB285" s="134"/>
      <c r="CC285" s="134"/>
      <c r="CD285" s="134"/>
      <c r="CE285" s="134"/>
      <c r="CF285" s="134"/>
      <c r="CG285" s="134"/>
      <c r="CH285" s="134"/>
      <c r="CI285" s="134"/>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134"/>
      <c r="FF285" s="134"/>
      <c r="FG285" s="134"/>
      <c r="FH285" s="134"/>
      <c r="FI285" s="134"/>
      <c r="FJ285" s="134"/>
      <c r="FK285" s="134"/>
      <c r="FL285" s="134"/>
      <c r="FM285" s="134"/>
      <c r="FN285" s="134"/>
      <c r="FO285" s="134"/>
      <c r="FP285" s="134"/>
      <c r="FQ285" s="134"/>
      <c r="FR285" s="134"/>
      <c r="FS285" s="134"/>
      <c r="FT285" s="134"/>
      <c r="FU285" s="134"/>
      <c r="FV285" s="134"/>
      <c r="FW285" s="134"/>
      <c r="FX285" s="134"/>
      <c r="FY285" s="134"/>
      <c r="FZ285" s="134"/>
      <c r="GA285" s="134"/>
      <c r="GB285" s="134"/>
      <c r="GC285" s="134"/>
      <c r="GD285" s="134"/>
      <c r="GE285" s="134"/>
      <c r="GF285" s="134"/>
      <c r="GG285" s="134"/>
      <c r="GH285" s="134"/>
      <c r="GI285" s="134"/>
      <c r="GJ285" s="134"/>
      <c r="GK285" s="134"/>
      <c r="GL285" s="134"/>
      <c r="GM285" s="134"/>
      <c r="GN285" s="134"/>
      <c r="GO285" s="134"/>
      <c r="GP285" s="134"/>
      <c r="GQ285" s="134"/>
      <c r="GR285" s="134"/>
      <c r="GS285" s="134"/>
      <c r="GT285" s="134"/>
      <c r="GU285" s="134"/>
      <c r="GV285" s="134"/>
      <c r="GW285" s="134"/>
      <c r="GX285" s="134"/>
      <c r="GY285" s="134"/>
      <c r="GZ285" s="134"/>
      <c r="HA285" s="134"/>
      <c r="HB285" s="134"/>
      <c r="HC285" s="134"/>
      <c r="HD285" s="134"/>
      <c r="HE285" s="134"/>
      <c r="HF285" s="134"/>
      <c r="HG285" s="134"/>
      <c r="HH285" s="134"/>
      <c r="HI285" s="134"/>
      <c r="HJ285" s="134"/>
      <c r="HK285" s="134"/>
      <c r="HL285" s="134"/>
      <c r="HM285" s="134"/>
      <c r="HN285" s="134"/>
      <c r="HO285" s="134"/>
      <c r="HP285" s="134"/>
      <c r="HQ285" s="134"/>
      <c r="HR285" s="134"/>
      <c r="HS285" s="134"/>
      <c r="HT285" s="134"/>
      <c r="HU285" s="134"/>
      <c r="HV285" s="134"/>
      <c r="HW285" s="134"/>
      <c r="HX285" s="134"/>
      <c r="HY285" s="134"/>
      <c r="HZ285" s="134"/>
      <c r="IA285" s="134"/>
      <c r="IB285" s="134"/>
      <c r="IC285" s="134"/>
      <c r="ID285" s="134"/>
      <c r="IE285" s="134"/>
      <c r="IF285" s="134"/>
      <c r="IG285" s="134"/>
      <c r="IH285" s="134"/>
      <c r="II285" s="134"/>
      <c r="IJ285" s="134"/>
      <c r="IK285" s="134"/>
      <c r="IL285" s="134"/>
      <c r="IM285" s="134"/>
      <c r="IN285" s="134"/>
      <c r="IO285" s="134"/>
      <c r="IP285" s="134"/>
      <c r="IQ285" s="134"/>
      <c r="IR285" s="134"/>
      <c r="IS285" s="134"/>
      <c r="IT285" s="134"/>
      <c r="IU285" s="134"/>
    </row>
    <row r="286" spans="1:255" ht="48" customHeight="1" x14ac:dyDescent="0.2">
      <c r="A286" s="236" t="str">
        <f>'HECVAT - Full'!A286</f>
        <v>HIPA-18</v>
      </c>
      <c r="B286" s="236" t="str">
        <f>VLOOKUP(A286,'HECVAT - Full'!A$24:B$312,2,FALSE)</f>
        <v>Does your application support varying levels of access to records based on user ID?</v>
      </c>
      <c r="C286" s="237" t="s">
        <v>691</v>
      </c>
      <c r="D286" s="247" t="s">
        <v>2971</v>
      </c>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34"/>
      <c r="BR286" s="134"/>
      <c r="BS286" s="134"/>
      <c r="BT286" s="134"/>
      <c r="BU286" s="134"/>
      <c r="BV286" s="134"/>
      <c r="BW286" s="134"/>
      <c r="BX286" s="134"/>
      <c r="BY286" s="134"/>
      <c r="BZ286" s="134"/>
      <c r="CA286" s="134"/>
      <c r="CB286" s="134"/>
      <c r="CC286" s="134"/>
      <c r="CD286" s="134"/>
      <c r="CE286" s="134"/>
      <c r="CF286" s="134"/>
      <c r="CG286" s="134"/>
      <c r="CH286" s="134"/>
      <c r="CI286" s="134"/>
      <c r="CJ286" s="134"/>
      <c r="CK286" s="134"/>
      <c r="CL286" s="134"/>
      <c r="CM286" s="134"/>
      <c r="CN286" s="134"/>
      <c r="CO286" s="134"/>
      <c r="CP286" s="134"/>
      <c r="CQ286" s="134"/>
      <c r="CR286" s="134"/>
      <c r="CS286" s="134"/>
      <c r="CT286" s="134"/>
      <c r="CU286" s="134"/>
      <c r="CV286" s="134"/>
      <c r="CW286" s="134"/>
      <c r="CX286" s="134"/>
      <c r="CY286" s="134"/>
      <c r="CZ286" s="134"/>
      <c r="DA286" s="134"/>
      <c r="DB286" s="134"/>
      <c r="DC286" s="134"/>
      <c r="DD286" s="134"/>
      <c r="DE286" s="134"/>
      <c r="DF286" s="134"/>
      <c r="DG286" s="134"/>
      <c r="DH286" s="134"/>
      <c r="DI286" s="134"/>
      <c r="DJ286" s="134"/>
      <c r="DK286" s="134"/>
      <c r="DL286" s="134"/>
      <c r="DM286" s="134"/>
      <c r="DN286" s="134"/>
      <c r="DO286" s="134"/>
      <c r="DP286" s="134"/>
      <c r="DQ286" s="134"/>
      <c r="DR286" s="134"/>
      <c r="DS286" s="134"/>
      <c r="DT286" s="134"/>
      <c r="DU286" s="134"/>
      <c r="DV286" s="134"/>
      <c r="DW286" s="134"/>
      <c r="DX286" s="134"/>
      <c r="DY286" s="134"/>
      <c r="DZ286" s="134"/>
      <c r="EA286" s="134"/>
      <c r="EB286" s="134"/>
      <c r="EC286" s="134"/>
      <c r="ED286" s="134"/>
      <c r="EE286" s="134"/>
      <c r="EF286" s="134"/>
      <c r="EG286" s="134"/>
      <c r="EH286" s="134"/>
      <c r="EI286" s="134"/>
      <c r="EJ286" s="134"/>
      <c r="EK286" s="134"/>
      <c r="EL286" s="134"/>
      <c r="EM286" s="134"/>
      <c r="EN286" s="134"/>
      <c r="EO286" s="134"/>
      <c r="EP286" s="134"/>
      <c r="EQ286" s="134"/>
      <c r="ER286" s="134"/>
      <c r="ES286" s="134"/>
      <c r="ET286" s="134"/>
      <c r="EU286" s="134"/>
      <c r="EV286" s="134"/>
      <c r="EW286" s="134"/>
      <c r="EX286" s="134"/>
      <c r="EY286" s="134"/>
      <c r="EZ286" s="134"/>
      <c r="FA286" s="134"/>
      <c r="FB286" s="134"/>
      <c r="FC286" s="134"/>
      <c r="FD286" s="134"/>
      <c r="FE286" s="134"/>
      <c r="FF286" s="134"/>
      <c r="FG286" s="134"/>
      <c r="FH286" s="134"/>
      <c r="FI286" s="134"/>
      <c r="FJ286" s="134"/>
      <c r="FK286" s="134"/>
      <c r="FL286" s="134"/>
      <c r="FM286" s="134"/>
      <c r="FN286" s="134"/>
      <c r="FO286" s="134"/>
      <c r="FP286" s="134"/>
      <c r="FQ286" s="134"/>
      <c r="FR286" s="134"/>
      <c r="FS286" s="134"/>
      <c r="FT286" s="134"/>
      <c r="FU286" s="134"/>
      <c r="FV286" s="134"/>
      <c r="FW286" s="134"/>
      <c r="FX286" s="134"/>
      <c r="FY286" s="134"/>
      <c r="FZ286" s="134"/>
      <c r="GA286" s="134"/>
      <c r="GB286" s="134"/>
      <c r="GC286" s="134"/>
      <c r="GD286" s="134"/>
      <c r="GE286" s="134"/>
      <c r="GF286" s="134"/>
      <c r="GG286" s="134"/>
      <c r="GH286" s="134"/>
      <c r="GI286" s="134"/>
      <c r="GJ286" s="134"/>
      <c r="GK286" s="134"/>
      <c r="GL286" s="134"/>
      <c r="GM286" s="134"/>
      <c r="GN286" s="134"/>
      <c r="GO286" s="134"/>
      <c r="GP286" s="134"/>
      <c r="GQ286" s="134"/>
      <c r="GR286" s="134"/>
      <c r="GS286" s="134"/>
      <c r="GT286" s="134"/>
      <c r="GU286" s="134"/>
      <c r="GV286" s="134"/>
      <c r="GW286" s="134"/>
      <c r="GX286" s="134"/>
      <c r="GY286" s="134"/>
      <c r="GZ286" s="134"/>
      <c r="HA286" s="134"/>
      <c r="HB286" s="134"/>
      <c r="HC286" s="134"/>
      <c r="HD286" s="134"/>
      <c r="HE286" s="134"/>
      <c r="HF286" s="134"/>
      <c r="HG286" s="134"/>
      <c r="HH286" s="134"/>
      <c r="HI286" s="134"/>
      <c r="HJ286" s="134"/>
      <c r="HK286" s="134"/>
      <c r="HL286" s="134"/>
      <c r="HM286" s="134"/>
      <c r="HN286" s="134"/>
      <c r="HO286" s="134"/>
      <c r="HP286" s="134"/>
      <c r="HQ286" s="134"/>
      <c r="HR286" s="134"/>
      <c r="HS286" s="134"/>
      <c r="HT286" s="134"/>
      <c r="HU286" s="134"/>
      <c r="HV286" s="134"/>
      <c r="HW286" s="134"/>
      <c r="HX286" s="134"/>
      <c r="HY286" s="134"/>
      <c r="HZ286" s="134"/>
      <c r="IA286" s="134"/>
      <c r="IB286" s="134"/>
      <c r="IC286" s="134"/>
      <c r="ID286" s="134"/>
      <c r="IE286" s="134"/>
      <c r="IF286" s="134"/>
      <c r="IG286" s="134"/>
      <c r="IH286" s="134"/>
      <c r="II286" s="134"/>
      <c r="IJ286" s="134"/>
      <c r="IK286" s="134"/>
      <c r="IL286" s="134"/>
      <c r="IM286" s="134"/>
      <c r="IN286" s="134"/>
      <c r="IO286" s="134"/>
      <c r="IP286" s="134"/>
      <c r="IQ286" s="134"/>
      <c r="IR286" s="134"/>
      <c r="IS286" s="134"/>
      <c r="IT286" s="134"/>
      <c r="IU286" s="134"/>
    </row>
    <row r="287" spans="1:255" ht="47" customHeight="1" x14ac:dyDescent="0.2">
      <c r="A287" s="236" t="str">
        <f>'HECVAT - Full'!A287</f>
        <v>HIPA-19</v>
      </c>
      <c r="B287" s="236" t="str">
        <f>VLOOKUP(A287,'HECVAT - Full'!A$24:B$312,2,FALSE)</f>
        <v>Is there a limit to the number of groups a user can be assigned?</v>
      </c>
      <c r="C287" s="237" t="s">
        <v>694</v>
      </c>
      <c r="D287" s="247" t="s">
        <v>2971</v>
      </c>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34"/>
      <c r="BQ287" s="134"/>
      <c r="BR287" s="134"/>
      <c r="BS287" s="134"/>
      <c r="BT287" s="134"/>
      <c r="BU287" s="134"/>
      <c r="BV287" s="134"/>
      <c r="BW287" s="134"/>
      <c r="BX287" s="134"/>
      <c r="BY287" s="134"/>
      <c r="BZ287" s="134"/>
      <c r="CA287" s="134"/>
      <c r="CB287" s="134"/>
      <c r="CC287" s="134"/>
      <c r="CD287" s="134"/>
      <c r="CE287" s="134"/>
      <c r="CF287" s="134"/>
      <c r="CG287" s="134"/>
      <c r="CH287" s="134"/>
      <c r="CI287" s="134"/>
      <c r="CJ287" s="134"/>
      <c r="CK287" s="134"/>
      <c r="CL287" s="134"/>
      <c r="CM287" s="134"/>
      <c r="CN287" s="134"/>
      <c r="CO287" s="134"/>
      <c r="CP287" s="134"/>
      <c r="CQ287" s="134"/>
      <c r="CR287" s="134"/>
      <c r="CS287" s="134"/>
      <c r="CT287" s="134"/>
      <c r="CU287" s="134"/>
      <c r="CV287" s="134"/>
      <c r="CW287" s="134"/>
      <c r="CX287" s="134"/>
      <c r="CY287" s="134"/>
      <c r="CZ287" s="134"/>
      <c r="DA287" s="134"/>
      <c r="DB287" s="134"/>
      <c r="DC287" s="134"/>
      <c r="DD287" s="134"/>
      <c r="DE287" s="134"/>
      <c r="DF287" s="134"/>
      <c r="DG287" s="134"/>
      <c r="DH287" s="134"/>
      <c r="DI287" s="134"/>
      <c r="DJ287" s="134"/>
      <c r="DK287" s="134"/>
      <c r="DL287" s="134"/>
      <c r="DM287" s="134"/>
      <c r="DN287" s="134"/>
      <c r="DO287" s="134"/>
      <c r="DP287" s="134"/>
      <c r="DQ287" s="134"/>
      <c r="DR287" s="134"/>
      <c r="DS287" s="134"/>
      <c r="DT287" s="134"/>
      <c r="DU287" s="134"/>
      <c r="DV287" s="134"/>
      <c r="DW287" s="134"/>
      <c r="DX287" s="134"/>
      <c r="DY287" s="134"/>
      <c r="DZ287" s="134"/>
      <c r="EA287" s="134"/>
      <c r="EB287" s="134"/>
      <c r="EC287" s="134"/>
      <c r="ED287" s="134"/>
      <c r="EE287" s="134"/>
      <c r="EF287" s="134"/>
      <c r="EG287" s="134"/>
      <c r="EH287" s="134"/>
      <c r="EI287" s="134"/>
      <c r="EJ287" s="134"/>
      <c r="EK287" s="134"/>
      <c r="EL287" s="134"/>
      <c r="EM287" s="134"/>
      <c r="EN287" s="134"/>
      <c r="EO287" s="134"/>
      <c r="EP287" s="134"/>
      <c r="EQ287" s="134"/>
      <c r="ER287" s="134"/>
      <c r="ES287" s="134"/>
      <c r="ET287" s="134"/>
      <c r="EU287" s="134"/>
      <c r="EV287" s="134"/>
      <c r="EW287" s="134"/>
      <c r="EX287" s="134"/>
      <c r="EY287" s="134"/>
      <c r="EZ287" s="134"/>
      <c r="FA287" s="134"/>
      <c r="FB287" s="134"/>
      <c r="FC287" s="134"/>
      <c r="FD287" s="134"/>
      <c r="FE287" s="134"/>
      <c r="FF287" s="134"/>
      <c r="FG287" s="134"/>
      <c r="FH287" s="134"/>
      <c r="FI287" s="134"/>
      <c r="FJ287" s="134"/>
      <c r="FK287" s="134"/>
      <c r="FL287" s="134"/>
      <c r="FM287" s="134"/>
      <c r="FN287" s="134"/>
      <c r="FO287" s="134"/>
      <c r="FP287" s="134"/>
      <c r="FQ287" s="134"/>
      <c r="FR287" s="134"/>
      <c r="FS287" s="134"/>
      <c r="FT287" s="134"/>
      <c r="FU287" s="134"/>
      <c r="FV287" s="134"/>
      <c r="FW287" s="134"/>
      <c r="FX287" s="134"/>
      <c r="FY287" s="134"/>
      <c r="FZ287" s="134"/>
      <c r="GA287" s="134"/>
      <c r="GB287" s="134"/>
      <c r="GC287" s="134"/>
      <c r="GD287" s="134"/>
      <c r="GE287" s="134"/>
      <c r="GF287" s="134"/>
      <c r="GG287" s="134"/>
      <c r="GH287" s="134"/>
      <c r="GI287" s="134"/>
      <c r="GJ287" s="134"/>
      <c r="GK287" s="134"/>
      <c r="GL287" s="134"/>
      <c r="GM287" s="134"/>
      <c r="GN287" s="134"/>
      <c r="GO287" s="134"/>
      <c r="GP287" s="134"/>
      <c r="GQ287" s="134"/>
      <c r="GR287" s="134"/>
      <c r="GS287" s="134"/>
      <c r="GT287" s="134"/>
      <c r="GU287" s="134"/>
      <c r="GV287" s="134"/>
      <c r="GW287" s="134"/>
      <c r="GX287" s="134"/>
      <c r="GY287" s="134"/>
      <c r="GZ287" s="134"/>
      <c r="HA287" s="134"/>
      <c r="HB287" s="134"/>
      <c r="HC287" s="134"/>
      <c r="HD287" s="134"/>
      <c r="HE287" s="134"/>
      <c r="HF287" s="134"/>
      <c r="HG287" s="134"/>
      <c r="HH287" s="134"/>
      <c r="HI287" s="134"/>
      <c r="HJ287" s="134"/>
      <c r="HK287" s="134"/>
      <c r="HL287" s="134"/>
      <c r="HM287" s="134"/>
      <c r="HN287" s="134"/>
      <c r="HO287" s="134"/>
      <c r="HP287" s="134"/>
      <c r="HQ287" s="134"/>
      <c r="HR287" s="134"/>
      <c r="HS287" s="134"/>
      <c r="HT287" s="134"/>
      <c r="HU287" s="134"/>
      <c r="HV287" s="134"/>
      <c r="HW287" s="134"/>
      <c r="HX287" s="134"/>
      <c r="HY287" s="134"/>
      <c r="HZ287" s="134"/>
      <c r="IA287" s="134"/>
      <c r="IB287" s="134"/>
      <c r="IC287" s="134"/>
      <c r="ID287" s="134"/>
      <c r="IE287" s="134"/>
      <c r="IF287" s="134"/>
      <c r="IG287" s="134"/>
      <c r="IH287" s="134"/>
      <c r="II287" s="134"/>
      <c r="IJ287" s="134"/>
      <c r="IK287" s="134"/>
      <c r="IL287" s="134"/>
      <c r="IM287" s="134"/>
      <c r="IN287" s="134"/>
      <c r="IO287" s="134"/>
      <c r="IP287" s="134"/>
      <c r="IQ287" s="134"/>
      <c r="IR287" s="134"/>
      <c r="IS287" s="134"/>
      <c r="IT287" s="134"/>
      <c r="IU287" s="134"/>
    </row>
    <row r="288" spans="1:255" ht="47" customHeight="1" x14ac:dyDescent="0.2">
      <c r="A288" s="236" t="str">
        <f>'HECVAT - Full'!A288</f>
        <v>HIPA-20</v>
      </c>
      <c r="B288" s="236" t="str">
        <f>VLOOKUP(A288,'HECVAT - Full'!A$24:B$312,2,FALSE)</f>
        <v>Do accounts used for vendor supplied remote support abide by the same authentication policies and access logging as the rest of the system?</v>
      </c>
      <c r="C288" s="237" t="s">
        <v>694</v>
      </c>
      <c r="D288" s="247" t="s">
        <v>2971</v>
      </c>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34"/>
      <c r="BR288" s="134"/>
      <c r="BS288" s="134"/>
      <c r="BT288" s="134"/>
      <c r="BU288" s="134"/>
      <c r="BV288" s="134"/>
      <c r="BW288" s="134"/>
      <c r="BX288" s="134"/>
      <c r="BY288" s="134"/>
      <c r="BZ288" s="134"/>
      <c r="CA288" s="134"/>
      <c r="CB288" s="134"/>
      <c r="CC288" s="134"/>
      <c r="CD288" s="134"/>
      <c r="CE288" s="134"/>
      <c r="CF288" s="134"/>
      <c r="CG288" s="134"/>
      <c r="CH288" s="134"/>
      <c r="CI288" s="134"/>
      <c r="CJ288" s="134"/>
      <c r="CK288" s="134"/>
      <c r="CL288" s="134"/>
      <c r="CM288" s="134"/>
      <c r="CN288" s="134"/>
      <c r="CO288" s="134"/>
      <c r="CP288" s="134"/>
      <c r="CQ288" s="134"/>
      <c r="CR288" s="134"/>
      <c r="CS288" s="134"/>
      <c r="CT288" s="134"/>
      <c r="CU288" s="134"/>
      <c r="CV288" s="134"/>
      <c r="CW288" s="134"/>
      <c r="CX288" s="134"/>
      <c r="CY288" s="134"/>
      <c r="CZ288" s="134"/>
      <c r="DA288" s="134"/>
      <c r="DB288" s="134"/>
      <c r="DC288" s="134"/>
      <c r="DD288" s="134"/>
      <c r="DE288" s="134"/>
      <c r="DF288" s="134"/>
      <c r="DG288" s="134"/>
      <c r="DH288" s="134"/>
      <c r="DI288" s="134"/>
      <c r="DJ288" s="134"/>
      <c r="DK288" s="134"/>
      <c r="DL288" s="134"/>
      <c r="DM288" s="134"/>
      <c r="DN288" s="134"/>
      <c r="DO288" s="134"/>
      <c r="DP288" s="134"/>
      <c r="DQ288" s="134"/>
      <c r="DR288" s="134"/>
      <c r="DS288" s="134"/>
      <c r="DT288" s="134"/>
      <c r="DU288" s="134"/>
      <c r="DV288" s="134"/>
      <c r="DW288" s="134"/>
      <c r="DX288" s="134"/>
      <c r="DY288" s="134"/>
      <c r="DZ288" s="134"/>
      <c r="EA288" s="134"/>
      <c r="EB288" s="134"/>
      <c r="EC288" s="134"/>
      <c r="ED288" s="134"/>
      <c r="EE288" s="134"/>
      <c r="EF288" s="134"/>
      <c r="EG288" s="134"/>
      <c r="EH288" s="134"/>
      <c r="EI288" s="134"/>
      <c r="EJ288" s="134"/>
      <c r="EK288" s="134"/>
      <c r="EL288" s="134"/>
      <c r="EM288" s="134"/>
      <c r="EN288" s="134"/>
      <c r="EO288" s="134"/>
      <c r="EP288" s="134"/>
      <c r="EQ288" s="134"/>
      <c r="ER288" s="134"/>
      <c r="ES288" s="134"/>
      <c r="ET288" s="134"/>
      <c r="EU288" s="134"/>
      <c r="EV288" s="134"/>
      <c r="EW288" s="134"/>
      <c r="EX288" s="134"/>
      <c r="EY288" s="134"/>
      <c r="EZ288" s="134"/>
      <c r="FA288" s="134"/>
      <c r="FB288" s="134"/>
      <c r="FC288" s="134"/>
      <c r="FD288" s="134"/>
      <c r="FE288" s="134"/>
      <c r="FF288" s="134"/>
      <c r="FG288" s="134"/>
      <c r="FH288" s="134"/>
      <c r="FI288" s="134"/>
      <c r="FJ288" s="134"/>
      <c r="FK288" s="134"/>
      <c r="FL288" s="134"/>
      <c r="FM288" s="134"/>
      <c r="FN288" s="134"/>
      <c r="FO288" s="134"/>
      <c r="FP288" s="134"/>
      <c r="FQ288" s="134"/>
      <c r="FR288" s="134"/>
      <c r="FS288" s="134"/>
      <c r="FT288" s="134"/>
      <c r="FU288" s="134"/>
      <c r="FV288" s="134"/>
      <c r="FW288" s="134"/>
      <c r="FX288" s="134"/>
      <c r="FY288" s="134"/>
      <c r="FZ288" s="134"/>
      <c r="GA288" s="134"/>
      <c r="GB288" s="134"/>
      <c r="GC288" s="134"/>
      <c r="GD288" s="134"/>
      <c r="GE288" s="134"/>
      <c r="GF288" s="134"/>
      <c r="GG288" s="134"/>
      <c r="GH288" s="134"/>
      <c r="GI288" s="134"/>
      <c r="GJ288" s="134"/>
      <c r="GK288" s="134"/>
      <c r="GL288" s="134"/>
      <c r="GM288" s="134"/>
      <c r="GN288" s="134"/>
      <c r="GO288" s="134"/>
      <c r="GP288" s="134"/>
      <c r="GQ288" s="134"/>
      <c r="GR288" s="134"/>
      <c r="GS288" s="134"/>
      <c r="GT288" s="134"/>
      <c r="GU288" s="134"/>
      <c r="GV288" s="134"/>
      <c r="GW288" s="134"/>
      <c r="GX288" s="134"/>
      <c r="GY288" s="134"/>
      <c r="GZ288" s="134"/>
      <c r="HA288" s="134"/>
      <c r="HB288" s="134"/>
      <c r="HC288" s="134"/>
      <c r="HD288" s="134"/>
      <c r="HE288" s="134"/>
      <c r="HF288" s="134"/>
      <c r="HG288" s="134"/>
      <c r="HH288" s="134"/>
      <c r="HI288" s="134"/>
      <c r="HJ288" s="134"/>
      <c r="HK288" s="134"/>
      <c r="HL288" s="134"/>
      <c r="HM288" s="134"/>
      <c r="HN288" s="134"/>
      <c r="HO288" s="134"/>
      <c r="HP288" s="134"/>
      <c r="HQ288" s="134"/>
      <c r="HR288" s="134"/>
      <c r="HS288" s="134"/>
      <c r="HT288" s="134"/>
      <c r="HU288" s="134"/>
      <c r="HV288" s="134"/>
      <c r="HW288" s="134"/>
      <c r="HX288" s="134"/>
      <c r="HY288" s="134"/>
      <c r="HZ288" s="134"/>
      <c r="IA288" s="134"/>
      <c r="IB288" s="134"/>
      <c r="IC288" s="134"/>
      <c r="ID288" s="134"/>
      <c r="IE288" s="134"/>
      <c r="IF288" s="134"/>
      <c r="IG288" s="134"/>
      <c r="IH288" s="134"/>
      <c r="II288" s="134"/>
      <c r="IJ288" s="134"/>
      <c r="IK288" s="134"/>
      <c r="IL288" s="134"/>
      <c r="IM288" s="134"/>
      <c r="IN288" s="134"/>
      <c r="IO288" s="134"/>
      <c r="IP288" s="134"/>
      <c r="IQ288" s="134"/>
      <c r="IR288" s="134"/>
      <c r="IS288" s="134"/>
      <c r="IT288" s="134"/>
      <c r="IU288" s="134"/>
    </row>
    <row r="289" spans="1:255" ht="48" customHeight="1" x14ac:dyDescent="0.2">
      <c r="A289" s="236" t="str">
        <f>'HECVAT - Full'!A289</f>
        <v>HIPA-21</v>
      </c>
      <c r="B289" s="236" t="str">
        <f>VLOOKUP(A289,'HECVAT - Full'!A$24:B$312,2,FALSE)</f>
        <v xml:space="preserve">Does the application log record access including specific user, date/time of access, and originating IP or device? </v>
      </c>
      <c r="C289" s="237" t="s">
        <v>2973</v>
      </c>
      <c r="D289" s="247" t="s">
        <v>2971</v>
      </c>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34"/>
      <c r="BQ289" s="134"/>
      <c r="BR289" s="134"/>
      <c r="BS289" s="134"/>
      <c r="BT289" s="134"/>
      <c r="BU289" s="134"/>
      <c r="BV289" s="134"/>
      <c r="BW289" s="134"/>
      <c r="BX289" s="134"/>
      <c r="BY289" s="134"/>
      <c r="BZ289" s="134"/>
      <c r="CA289" s="134"/>
      <c r="CB289" s="134"/>
      <c r="CC289" s="134"/>
      <c r="CD289" s="134"/>
      <c r="CE289" s="134"/>
      <c r="CF289" s="134"/>
      <c r="CG289" s="134"/>
      <c r="CH289" s="134"/>
      <c r="CI289" s="134"/>
      <c r="CJ289" s="134"/>
      <c r="CK289" s="134"/>
      <c r="CL289" s="134"/>
      <c r="CM289" s="134"/>
      <c r="CN289" s="134"/>
      <c r="CO289" s="134"/>
      <c r="CP289" s="134"/>
      <c r="CQ289" s="134"/>
      <c r="CR289" s="134"/>
      <c r="CS289" s="134"/>
      <c r="CT289" s="134"/>
      <c r="CU289" s="134"/>
      <c r="CV289" s="134"/>
      <c r="CW289" s="134"/>
      <c r="CX289" s="134"/>
      <c r="CY289" s="134"/>
      <c r="CZ289" s="134"/>
      <c r="DA289" s="134"/>
      <c r="DB289" s="134"/>
      <c r="DC289" s="134"/>
      <c r="DD289" s="134"/>
      <c r="DE289" s="134"/>
      <c r="DF289" s="134"/>
      <c r="DG289" s="134"/>
      <c r="DH289" s="134"/>
      <c r="DI289" s="134"/>
      <c r="DJ289" s="134"/>
      <c r="DK289" s="134"/>
      <c r="DL289" s="134"/>
      <c r="DM289" s="134"/>
      <c r="DN289" s="134"/>
      <c r="DO289" s="134"/>
      <c r="DP289" s="134"/>
      <c r="DQ289" s="134"/>
      <c r="DR289" s="134"/>
      <c r="DS289" s="134"/>
      <c r="DT289" s="134"/>
      <c r="DU289" s="134"/>
      <c r="DV289" s="134"/>
      <c r="DW289" s="134"/>
      <c r="DX289" s="134"/>
      <c r="DY289" s="134"/>
      <c r="DZ289" s="134"/>
      <c r="EA289" s="134"/>
      <c r="EB289" s="134"/>
      <c r="EC289" s="134"/>
      <c r="ED289" s="134"/>
      <c r="EE289" s="134"/>
      <c r="EF289" s="134"/>
      <c r="EG289" s="134"/>
      <c r="EH289" s="134"/>
      <c r="EI289" s="134"/>
      <c r="EJ289" s="134"/>
      <c r="EK289" s="134"/>
      <c r="EL289" s="134"/>
      <c r="EM289" s="134"/>
      <c r="EN289" s="134"/>
      <c r="EO289" s="134"/>
      <c r="EP289" s="134"/>
      <c r="EQ289" s="134"/>
      <c r="ER289" s="134"/>
      <c r="ES289" s="134"/>
      <c r="ET289" s="134"/>
      <c r="EU289" s="134"/>
      <c r="EV289" s="134"/>
      <c r="EW289" s="134"/>
      <c r="EX289" s="134"/>
      <c r="EY289" s="134"/>
      <c r="EZ289" s="134"/>
      <c r="FA289" s="134"/>
      <c r="FB289" s="134"/>
      <c r="FC289" s="134"/>
      <c r="FD289" s="134"/>
      <c r="FE289" s="134"/>
      <c r="FF289" s="134"/>
      <c r="FG289" s="134"/>
      <c r="FH289" s="134"/>
      <c r="FI289" s="134"/>
      <c r="FJ289" s="134"/>
      <c r="FK289" s="134"/>
      <c r="FL289" s="134"/>
      <c r="FM289" s="134"/>
      <c r="FN289" s="134"/>
      <c r="FO289" s="134"/>
      <c r="FP289" s="134"/>
      <c r="FQ289" s="134"/>
      <c r="FR289" s="134"/>
      <c r="FS289" s="134"/>
      <c r="FT289" s="134"/>
      <c r="FU289" s="134"/>
      <c r="FV289" s="134"/>
      <c r="FW289" s="134"/>
      <c r="FX289" s="134"/>
      <c r="FY289" s="134"/>
      <c r="FZ289" s="134"/>
      <c r="GA289" s="134"/>
      <c r="GB289" s="134"/>
      <c r="GC289" s="134"/>
      <c r="GD289" s="134"/>
      <c r="GE289" s="134"/>
      <c r="GF289" s="134"/>
      <c r="GG289" s="134"/>
      <c r="GH289" s="134"/>
      <c r="GI289" s="134"/>
      <c r="GJ289" s="134"/>
      <c r="GK289" s="134"/>
      <c r="GL289" s="134"/>
      <c r="GM289" s="134"/>
      <c r="GN289" s="134"/>
      <c r="GO289" s="134"/>
      <c r="GP289" s="134"/>
      <c r="GQ289" s="134"/>
      <c r="GR289" s="134"/>
      <c r="GS289" s="134"/>
      <c r="GT289" s="134"/>
      <c r="GU289" s="134"/>
      <c r="GV289" s="134"/>
      <c r="GW289" s="134"/>
      <c r="GX289" s="134"/>
      <c r="GY289" s="134"/>
      <c r="GZ289" s="134"/>
      <c r="HA289" s="134"/>
      <c r="HB289" s="134"/>
      <c r="HC289" s="134"/>
      <c r="HD289" s="134"/>
      <c r="HE289" s="134"/>
      <c r="HF289" s="134"/>
      <c r="HG289" s="134"/>
      <c r="HH289" s="134"/>
      <c r="HI289" s="134"/>
      <c r="HJ289" s="134"/>
      <c r="HK289" s="134"/>
      <c r="HL289" s="134"/>
      <c r="HM289" s="134"/>
      <c r="HN289" s="134"/>
      <c r="HO289" s="134"/>
      <c r="HP289" s="134"/>
      <c r="HQ289" s="134"/>
      <c r="HR289" s="134"/>
      <c r="HS289" s="134"/>
      <c r="HT289" s="134"/>
      <c r="HU289" s="134"/>
      <c r="HV289" s="134"/>
      <c r="HW289" s="134"/>
      <c r="HX289" s="134"/>
      <c r="HY289" s="134"/>
      <c r="HZ289" s="134"/>
      <c r="IA289" s="134"/>
      <c r="IB289" s="134"/>
      <c r="IC289" s="134"/>
      <c r="ID289" s="134"/>
      <c r="IE289" s="134"/>
      <c r="IF289" s="134"/>
      <c r="IG289" s="134"/>
      <c r="IH289" s="134"/>
      <c r="II289" s="134"/>
      <c r="IJ289" s="134"/>
      <c r="IK289" s="134"/>
      <c r="IL289" s="134"/>
      <c r="IM289" s="134"/>
      <c r="IN289" s="134"/>
      <c r="IO289" s="134"/>
      <c r="IP289" s="134"/>
      <c r="IQ289" s="134"/>
      <c r="IR289" s="134"/>
      <c r="IS289" s="134"/>
      <c r="IT289" s="134"/>
      <c r="IU289" s="134"/>
    </row>
    <row r="290" spans="1:255" ht="65" customHeight="1" x14ac:dyDescent="0.2">
      <c r="A290" s="236" t="str">
        <f>'HECVAT - Full'!A290</f>
        <v>HIPA-22</v>
      </c>
      <c r="B290" s="236" t="str">
        <f>VLOOKUP(A290,'HECVAT - Full'!A$24:B$312,2,FALSE)</f>
        <v>Does the application log administrative activity, such user account access changes and password changes, including specific user, date/time of changes, and originating IP or device?</v>
      </c>
      <c r="C290" s="237" t="s">
        <v>606</v>
      </c>
      <c r="D290" s="247" t="s">
        <v>2971</v>
      </c>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34"/>
      <c r="BQ290" s="134"/>
      <c r="BR290" s="134"/>
      <c r="BS290" s="134"/>
      <c r="BT290" s="134"/>
      <c r="BU290" s="134"/>
      <c r="BV290" s="134"/>
      <c r="BW290" s="134"/>
      <c r="BX290" s="134"/>
      <c r="BY290" s="134"/>
      <c r="BZ290" s="134"/>
      <c r="CA290" s="134"/>
      <c r="CB290" s="134"/>
      <c r="CC290" s="134"/>
      <c r="CD290" s="134"/>
      <c r="CE290" s="134"/>
      <c r="CF290" s="134"/>
      <c r="CG290" s="134"/>
      <c r="CH290" s="134"/>
      <c r="CI290" s="134"/>
      <c r="CJ290" s="134"/>
      <c r="CK290" s="134"/>
      <c r="CL290" s="134"/>
      <c r="CM290" s="134"/>
      <c r="CN290" s="134"/>
      <c r="CO290" s="134"/>
      <c r="CP290" s="134"/>
      <c r="CQ290" s="134"/>
      <c r="CR290" s="134"/>
      <c r="CS290" s="134"/>
      <c r="CT290" s="134"/>
      <c r="CU290" s="134"/>
      <c r="CV290" s="134"/>
      <c r="CW290" s="134"/>
      <c r="CX290" s="134"/>
      <c r="CY290" s="134"/>
      <c r="CZ290" s="134"/>
      <c r="DA290" s="134"/>
      <c r="DB290" s="134"/>
      <c r="DC290" s="134"/>
      <c r="DD290" s="134"/>
      <c r="DE290" s="134"/>
      <c r="DF290" s="134"/>
      <c r="DG290" s="134"/>
      <c r="DH290" s="134"/>
      <c r="DI290" s="134"/>
      <c r="DJ290" s="134"/>
      <c r="DK290" s="134"/>
      <c r="DL290" s="134"/>
      <c r="DM290" s="134"/>
      <c r="DN290" s="134"/>
      <c r="DO290" s="134"/>
      <c r="DP290" s="134"/>
      <c r="DQ290" s="134"/>
      <c r="DR290" s="134"/>
      <c r="DS290" s="134"/>
      <c r="DT290" s="134"/>
      <c r="DU290" s="134"/>
      <c r="DV290" s="134"/>
      <c r="DW290" s="134"/>
      <c r="DX290" s="134"/>
      <c r="DY290" s="134"/>
      <c r="DZ290" s="134"/>
      <c r="EA290" s="134"/>
      <c r="EB290" s="134"/>
      <c r="EC290" s="134"/>
      <c r="ED290" s="134"/>
      <c r="EE290" s="134"/>
      <c r="EF290" s="134"/>
      <c r="EG290" s="134"/>
      <c r="EH290" s="134"/>
      <c r="EI290" s="134"/>
      <c r="EJ290" s="134"/>
      <c r="EK290" s="134"/>
      <c r="EL290" s="134"/>
      <c r="EM290" s="134"/>
      <c r="EN290" s="134"/>
      <c r="EO290" s="134"/>
      <c r="EP290" s="134"/>
      <c r="EQ290" s="134"/>
      <c r="ER290" s="134"/>
      <c r="ES290" s="134"/>
      <c r="ET290" s="134"/>
      <c r="EU290" s="134"/>
      <c r="EV290" s="134"/>
      <c r="EW290" s="134"/>
      <c r="EX290" s="134"/>
      <c r="EY290" s="134"/>
      <c r="EZ290" s="134"/>
      <c r="FA290" s="134"/>
      <c r="FB290" s="134"/>
      <c r="FC290" s="134"/>
      <c r="FD290" s="134"/>
      <c r="FE290" s="134"/>
      <c r="FF290" s="134"/>
      <c r="FG290" s="134"/>
      <c r="FH290" s="134"/>
      <c r="FI290" s="134"/>
      <c r="FJ290" s="134"/>
      <c r="FK290" s="134"/>
      <c r="FL290" s="134"/>
      <c r="FM290" s="134"/>
      <c r="FN290" s="134"/>
      <c r="FO290" s="134"/>
      <c r="FP290" s="134"/>
      <c r="FQ290" s="134"/>
      <c r="FR290" s="134"/>
      <c r="FS290" s="134"/>
      <c r="FT290" s="134"/>
      <c r="FU290" s="134"/>
      <c r="FV290" s="134"/>
      <c r="FW290" s="134"/>
      <c r="FX290" s="134"/>
      <c r="FY290" s="134"/>
      <c r="FZ290" s="134"/>
      <c r="GA290" s="134"/>
      <c r="GB290" s="134"/>
      <c r="GC290" s="134"/>
      <c r="GD290" s="134"/>
      <c r="GE290" s="134"/>
      <c r="GF290" s="134"/>
      <c r="GG290" s="134"/>
      <c r="GH290" s="134"/>
      <c r="GI290" s="134"/>
      <c r="GJ290" s="134"/>
      <c r="GK290" s="134"/>
      <c r="GL290" s="134"/>
      <c r="GM290" s="134"/>
      <c r="GN290" s="134"/>
      <c r="GO290" s="134"/>
      <c r="GP290" s="134"/>
      <c r="GQ290" s="134"/>
      <c r="GR290" s="134"/>
      <c r="GS290" s="134"/>
      <c r="GT290" s="134"/>
      <c r="GU290" s="134"/>
      <c r="GV290" s="134"/>
      <c r="GW290" s="134"/>
      <c r="GX290" s="134"/>
      <c r="GY290" s="134"/>
      <c r="GZ290" s="134"/>
      <c r="HA290" s="134"/>
      <c r="HB290" s="134"/>
      <c r="HC290" s="134"/>
      <c r="HD290" s="134"/>
      <c r="HE290" s="134"/>
      <c r="HF290" s="134"/>
      <c r="HG290" s="134"/>
      <c r="HH290" s="134"/>
      <c r="HI290" s="134"/>
      <c r="HJ290" s="134"/>
      <c r="HK290" s="134"/>
      <c r="HL290" s="134"/>
      <c r="HM290" s="134"/>
      <c r="HN290" s="134"/>
      <c r="HO290" s="134"/>
      <c r="HP290" s="134"/>
      <c r="HQ290" s="134"/>
      <c r="HR290" s="134"/>
      <c r="HS290" s="134"/>
      <c r="HT290" s="134"/>
      <c r="HU290" s="134"/>
      <c r="HV290" s="134"/>
      <c r="HW290" s="134"/>
      <c r="HX290" s="134"/>
      <c r="HY290" s="134"/>
      <c r="HZ290" s="134"/>
      <c r="IA290" s="134"/>
      <c r="IB290" s="134"/>
      <c r="IC290" s="134"/>
      <c r="ID290" s="134"/>
      <c r="IE290" s="134"/>
      <c r="IF290" s="134"/>
      <c r="IG290" s="134"/>
      <c r="IH290" s="134"/>
      <c r="II290" s="134"/>
      <c r="IJ290" s="134"/>
      <c r="IK290" s="134"/>
      <c r="IL290" s="134"/>
      <c r="IM290" s="134"/>
      <c r="IN290" s="134"/>
      <c r="IO290" s="134"/>
      <c r="IP290" s="134"/>
      <c r="IQ290" s="134"/>
      <c r="IR290" s="134"/>
      <c r="IS290" s="134"/>
      <c r="IT290" s="134"/>
      <c r="IU290" s="134"/>
    </row>
    <row r="291" spans="1:255" ht="48" customHeight="1" x14ac:dyDescent="0.2">
      <c r="A291" s="236" t="str">
        <f>'HECVAT - Full'!A291</f>
        <v>HIPA-23</v>
      </c>
      <c r="B291" s="236" t="str">
        <f>VLOOKUP(A291,'HECVAT - Full'!A$24:B$312,2,FALSE)</f>
        <v>How long does the application keep access/change logs?</v>
      </c>
      <c r="C291" s="237" t="s">
        <v>606</v>
      </c>
      <c r="D291" s="247" t="s">
        <v>2971</v>
      </c>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4"/>
      <c r="BR291" s="134"/>
      <c r="BS291" s="134"/>
      <c r="BT291" s="134"/>
      <c r="BU291" s="134"/>
      <c r="BV291" s="134"/>
      <c r="BW291" s="134"/>
      <c r="BX291" s="134"/>
      <c r="BY291" s="134"/>
      <c r="BZ291" s="134"/>
      <c r="CA291" s="134"/>
      <c r="CB291" s="134"/>
      <c r="CC291" s="134"/>
      <c r="CD291" s="134"/>
      <c r="CE291" s="134"/>
      <c r="CF291" s="134"/>
      <c r="CG291" s="134"/>
      <c r="CH291" s="134"/>
      <c r="CI291" s="134"/>
      <c r="CJ291" s="134"/>
      <c r="CK291" s="134"/>
      <c r="CL291" s="134"/>
      <c r="CM291" s="134"/>
      <c r="CN291" s="134"/>
      <c r="CO291" s="134"/>
      <c r="CP291" s="134"/>
      <c r="CQ291" s="134"/>
      <c r="CR291" s="134"/>
      <c r="CS291" s="134"/>
      <c r="CT291" s="134"/>
      <c r="CU291" s="134"/>
      <c r="CV291" s="134"/>
      <c r="CW291" s="134"/>
      <c r="CX291" s="134"/>
      <c r="CY291" s="134"/>
      <c r="CZ291" s="134"/>
      <c r="DA291" s="134"/>
      <c r="DB291" s="134"/>
      <c r="DC291" s="134"/>
      <c r="DD291" s="134"/>
      <c r="DE291" s="134"/>
      <c r="DF291" s="134"/>
      <c r="DG291" s="134"/>
      <c r="DH291" s="134"/>
      <c r="DI291" s="134"/>
      <c r="DJ291" s="134"/>
      <c r="DK291" s="134"/>
      <c r="DL291" s="134"/>
      <c r="DM291" s="134"/>
      <c r="DN291" s="134"/>
      <c r="DO291" s="134"/>
      <c r="DP291" s="134"/>
      <c r="DQ291" s="134"/>
      <c r="DR291" s="134"/>
      <c r="DS291" s="134"/>
      <c r="DT291" s="134"/>
      <c r="DU291" s="134"/>
      <c r="DV291" s="134"/>
      <c r="DW291" s="134"/>
      <c r="DX291" s="134"/>
      <c r="DY291" s="134"/>
      <c r="DZ291" s="134"/>
      <c r="EA291" s="134"/>
      <c r="EB291" s="134"/>
      <c r="EC291" s="134"/>
      <c r="ED291" s="134"/>
      <c r="EE291" s="134"/>
      <c r="EF291" s="134"/>
      <c r="EG291" s="134"/>
      <c r="EH291" s="134"/>
      <c r="EI291" s="134"/>
      <c r="EJ291" s="134"/>
      <c r="EK291" s="134"/>
      <c r="EL291" s="134"/>
      <c r="EM291" s="134"/>
      <c r="EN291" s="134"/>
      <c r="EO291" s="134"/>
      <c r="EP291" s="134"/>
      <c r="EQ291" s="134"/>
      <c r="ER291" s="134"/>
      <c r="ES291" s="134"/>
      <c r="ET291" s="134"/>
      <c r="EU291" s="134"/>
      <c r="EV291" s="134"/>
      <c r="EW291" s="134"/>
      <c r="EX291" s="134"/>
      <c r="EY291" s="134"/>
      <c r="EZ291" s="134"/>
      <c r="FA291" s="134"/>
      <c r="FB291" s="134"/>
      <c r="FC291" s="134"/>
      <c r="FD291" s="134"/>
      <c r="FE291" s="134"/>
      <c r="FF291" s="134"/>
      <c r="FG291" s="134"/>
      <c r="FH291" s="134"/>
      <c r="FI291" s="134"/>
      <c r="FJ291" s="134"/>
      <c r="FK291" s="134"/>
      <c r="FL291" s="134"/>
      <c r="FM291" s="134"/>
      <c r="FN291" s="134"/>
      <c r="FO291" s="134"/>
      <c r="FP291" s="134"/>
      <c r="FQ291" s="134"/>
      <c r="FR291" s="134"/>
      <c r="FS291" s="134"/>
      <c r="FT291" s="134"/>
      <c r="FU291" s="134"/>
      <c r="FV291" s="134"/>
      <c r="FW291" s="134"/>
      <c r="FX291" s="134"/>
      <c r="FY291" s="134"/>
      <c r="FZ291" s="134"/>
      <c r="GA291" s="134"/>
      <c r="GB291" s="134"/>
      <c r="GC291" s="134"/>
      <c r="GD291" s="134"/>
      <c r="GE291" s="134"/>
      <c r="GF291" s="134"/>
      <c r="GG291" s="134"/>
      <c r="GH291" s="134"/>
      <c r="GI291" s="134"/>
      <c r="GJ291" s="134"/>
      <c r="GK291" s="134"/>
      <c r="GL291" s="134"/>
      <c r="GM291" s="134"/>
      <c r="GN291" s="134"/>
      <c r="GO291" s="134"/>
      <c r="GP291" s="134"/>
      <c r="GQ291" s="134"/>
      <c r="GR291" s="134"/>
      <c r="GS291" s="134"/>
      <c r="GT291" s="134"/>
      <c r="GU291" s="134"/>
      <c r="GV291" s="134"/>
      <c r="GW291" s="134"/>
      <c r="GX291" s="134"/>
      <c r="GY291" s="134"/>
      <c r="GZ291" s="134"/>
      <c r="HA291" s="134"/>
      <c r="HB291" s="134"/>
      <c r="HC291" s="134"/>
      <c r="HD291" s="134"/>
      <c r="HE291" s="134"/>
      <c r="HF291" s="134"/>
      <c r="HG291" s="134"/>
      <c r="HH291" s="134"/>
      <c r="HI291" s="134"/>
      <c r="HJ291" s="134"/>
      <c r="HK291" s="134"/>
      <c r="HL291" s="134"/>
      <c r="HM291" s="134"/>
      <c r="HN291" s="134"/>
      <c r="HO291" s="134"/>
      <c r="HP291" s="134"/>
      <c r="HQ291" s="134"/>
      <c r="HR291" s="134"/>
      <c r="HS291" s="134"/>
      <c r="HT291" s="134"/>
      <c r="HU291" s="134"/>
      <c r="HV291" s="134"/>
      <c r="HW291" s="134"/>
      <c r="HX291" s="134"/>
      <c r="HY291" s="134"/>
      <c r="HZ291" s="134"/>
      <c r="IA291" s="134"/>
      <c r="IB291" s="134"/>
      <c r="IC291" s="134"/>
      <c r="ID291" s="134"/>
      <c r="IE291" s="134"/>
      <c r="IF291" s="134"/>
      <c r="IG291" s="134"/>
      <c r="IH291" s="134"/>
      <c r="II291" s="134"/>
      <c r="IJ291" s="134"/>
      <c r="IK291" s="134"/>
      <c r="IL291" s="134"/>
      <c r="IM291" s="134"/>
      <c r="IN291" s="134"/>
      <c r="IO291" s="134"/>
      <c r="IP291" s="134"/>
      <c r="IQ291" s="134"/>
      <c r="IR291" s="134"/>
      <c r="IS291" s="134"/>
      <c r="IT291" s="134"/>
      <c r="IU291" s="134"/>
    </row>
    <row r="292" spans="1:255" ht="48" customHeight="1" x14ac:dyDescent="0.2">
      <c r="A292" s="236" t="str">
        <f>'HECVAT - Full'!A292</f>
        <v>HIPA-24</v>
      </c>
      <c r="B292" s="236" t="str">
        <f>VLOOKUP(A292,'HECVAT - Full'!A$24:B$312,2,FALSE)</f>
        <v xml:space="preserve">Can the application logs be archived? </v>
      </c>
      <c r="C292" s="237" t="s">
        <v>606</v>
      </c>
      <c r="D292" s="247" t="s">
        <v>2971</v>
      </c>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34"/>
      <c r="BQ292" s="134"/>
      <c r="BR292" s="134"/>
      <c r="BS292" s="134"/>
      <c r="BT292" s="134"/>
      <c r="BU292" s="134"/>
      <c r="BV292" s="134"/>
      <c r="BW292" s="134"/>
      <c r="BX292" s="134"/>
      <c r="BY292" s="134"/>
      <c r="BZ292" s="134"/>
      <c r="CA292" s="134"/>
      <c r="CB292" s="134"/>
      <c r="CC292" s="134"/>
      <c r="CD292" s="134"/>
      <c r="CE292" s="134"/>
      <c r="CF292" s="134"/>
      <c r="CG292" s="134"/>
      <c r="CH292" s="134"/>
      <c r="CI292" s="134"/>
      <c r="CJ292" s="134"/>
      <c r="CK292" s="134"/>
      <c r="CL292" s="134"/>
      <c r="CM292" s="134"/>
      <c r="CN292" s="134"/>
      <c r="CO292" s="134"/>
      <c r="CP292" s="134"/>
      <c r="CQ292" s="134"/>
      <c r="CR292" s="134"/>
      <c r="CS292" s="134"/>
      <c r="CT292" s="134"/>
      <c r="CU292" s="134"/>
      <c r="CV292" s="134"/>
      <c r="CW292" s="134"/>
      <c r="CX292" s="134"/>
      <c r="CY292" s="134"/>
      <c r="CZ292" s="134"/>
      <c r="DA292" s="134"/>
      <c r="DB292" s="134"/>
      <c r="DC292" s="134"/>
      <c r="DD292" s="134"/>
      <c r="DE292" s="134"/>
      <c r="DF292" s="134"/>
      <c r="DG292" s="134"/>
      <c r="DH292" s="134"/>
      <c r="DI292" s="134"/>
      <c r="DJ292" s="134"/>
      <c r="DK292" s="134"/>
      <c r="DL292" s="134"/>
      <c r="DM292" s="134"/>
      <c r="DN292" s="134"/>
      <c r="DO292" s="134"/>
      <c r="DP292" s="134"/>
      <c r="DQ292" s="134"/>
      <c r="DR292" s="134"/>
      <c r="DS292" s="134"/>
      <c r="DT292" s="134"/>
      <c r="DU292" s="134"/>
      <c r="DV292" s="134"/>
      <c r="DW292" s="134"/>
      <c r="DX292" s="134"/>
      <c r="DY292" s="134"/>
      <c r="DZ292" s="134"/>
      <c r="EA292" s="134"/>
      <c r="EB292" s="134"/>
      <c r="EC292" s="134"/>
      <c r="ED292" s="134"/>
      <c r="EE292" s="134"/>
      <c r="EF292" s="134"/>
      <c r="EG292" s="134"/>
      <c r="EH292" s="134"/>
      <c r="EI292" s="134"/>
      <c r="EJ292" s="134"/>
      <c r="EK292" s="134"/>
      <c r="EL292" s="134"/>
      <c r="EM292" s="134"/>
      <c r="EN292" s="134"/>
      <c r="EO292" s="134"/>
      <c r="EP292" s="134"/>
      <c r="EQ292" s="134"/>
      <c r="ER292" s="134"/>
      <c r="ES292" s="134"/>
      <c r="ET292" s="134"/>
      <c r="EU292" s="134"/>
      <c r="EV292" s="134"/>
      <c r="EW292" s="134"/>
      <c r="EX292" s="134"/>
      <c r="EY292" s="134"/>
      <c r="EZ292" s="134"/>
      <c r="FA292" s="134"/>
      <c r="FB292" s="134"/>
      <c r="FC292" s="134"/>
      <c r="FD292" s="134"/>
      <c r="FE292" s="134"/>
      <c r="FF292" s="134"/>
      <c r="FG292" s="134"/>
      <c r="FH292" s="134"/>
      <c r="FI292" s="134"/>
      <c r="FJ292" s="134"/>
      <c r="FK292" s="134"/>
      <c r="FL292" s="134"/>
      <c r="FM292" s="134"/>
      <c r="FN292" s="134"/>
      <c r="FO292" s="134"/>
      <c r="FP292" s="134"/>
      <c r="FQ292" s="134"/>
      <c r="FR292" s="134"/>
      <c r="FS292" s="134"/>
      <c r="FT292" s="134"/>
      <c r="FU292" s="134"/>
      <c r="FV292" s="134"/>
      <c r="FW292" s="134"/>
      <c r="FX292" s="134"/>
      <c r="FY292" s="134"/>
      <c r="FZ292" s="134"/>
      <c r="GA292" s="134"/>
      <c r="GB292" s="134"/>
      <c r="GC292" s="134"/>
      <c r="GD292" s="134"/>
      <c r="GE292" s="134"/>
      <c r="GF292" s="134"/>
      <c r="GG292" s="134"/>
      <c r="GH292" s="134"/>
      <c r="GI292" s="134"/>
      <c r="GJ292" s="134"/>
      <c r="GK292" s="134"/>
      <c r="GL292" s="134"/>
      <c r="GM292" s="134"/>
      <c r="GN292" s="134"/>
      <c r="GO292" s="134"/>
      <c r="GP292" s="134"/>
      <c r="GQ292" s="134"/>
      <c r="GR292" s="134"/>
      <c r="GS292" s="134"/>
      <c r="GT292" s="134"/>
      <c r="GU292" s="134"/>
      <c r="GV292" s="134"/>
      <c r="GW292" s="134"/>
      <c r="GX292" s="134"/>
      <c r="GY292" s="134"/>
      <c r="GZ292" s="134"/>
      <c r="HA292" s="134"/>
      <c r="HB292" s="134"/>
      <c r="HC292" s="134"/>
      <c r="HD292" s="134"/>
      <c r="HE292" s="134"/>
      <c r="HF292" s="134"/>
      <c r="HG292" s="134"/>
      <c r="HH292" s="134"/>
      <c r="HI292" s="134"/>
      <c r="HJ292" s="134"/>
      <c r="HK292" s="134"/>
      <c r="HL292" s="134"/>
      <c r="HM292" s="134"/>
      <c r="HN292" s="134"/>
      <c r="HO292" s="134"/>
      <c r="HP292" s="134"/>
      <c r="HQ292" s="134"/>
      <c r="HR292" s="134"/>
      <c r="HS292" s="134"/>
      <c r="HT292" s="134"/>
      <c r="HU292" s="134"/>
      <c r="HV292" s="134"/>
      <c r="HW292" s="134"/>
      <c r="HX292" s="134"/>
      <c r="HY292" s="134"/>
      <c r="HZ292" s="134"/>
      <c r="IA292" s="134"/>
      <c r="IB292" s="134"/>
      <c r="IC292" s="134"/>
      <c r="ID292" s="134"/>
      <c r="IE292" s="134"/>
      <c r="IF292" s="134"/>
      <c r="IG292" s="134"/>
      <c r="IH292" s="134"/>
      <c r="II292" s="134"/>
      <c r="IJ292" s="134"/>
      <c r="IK292" s="134"/>
      <c r="IL292" s="134"/>
      <c r="IM292" s="134"/>
      <c r="IN292" s="134"/>
      <c r="IO292" s="134"/>
      <c r="IP292" s="134"/>
      <c r="IQ292" s="134"/>
      <c r="IR292" s="134"/>
      <c r="IS292" s="134"/>
      <c r="IT292" s="134"/>
      <c r="IU292" s="134"/>
    </row>
    <row r="293" spans="1:255" ht="48" customHeight="1" x14ac:dyDescent="0.2">
      <c r="A293" s="236" t="str">
        <f>'HECVAT - Full'!A293</f>
        <v>HIPA-25</v>
      </c>
      <c r="B293" s="236" t="str">
        <f>VLOOKUP(A293,'HECVAT - Full'!A$24:B$312,2,FALSE)</f>
        <v xml:space="preserve">Can the application logs be saved externally? </v>
      </c>
      <c r="C293" s="237" t="s">
        <v>606</v>
      </c>
      <c r="D293" s="247" t="s">
        <v>2971</v>
      </c>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34"/>
      <c r="BQ293" s="134"/>
      <c r="BR293" s="134"/>
      <c r="BS293" s="134"/>
      <c r="BT293" s="134"/>
      <c r="BU293" s="134"/>
      <c r="BV293" s="134"/>
      <c r="BW293" s="134"/>
      <c r="BX293" s="134"/>
      <c r="BY293" s="134"/>
      <c r="BZ293" s="134"/>
      <c r="CA293" s="134"/>
      <c r="CB293" s="134"/>
      <c r="CC293" s="134"/>
      <c r="CD293" s="134"/>
      <c r="CE293" s="134"/>
      <c r="CF293" s="134"/>
      <c r="CG293" s="134"/>
      <c r="CH293" s="134"/>
      <c r="CI293" s="134"/>
      <c r="CJ293" s="134"/>
      <c r="CK293" s="134"/>
      <c r="CL293" s="134"/>
      <c r="CM293" s="134"/>
      <c r="CN293" s="134"/>
      <c r="CO293" s="134"/>
      <c r="CP293" s="134"/>
      <c r="CQ293" s="134"/>
      <c r="CR293" s="134"/>
      <c r="CS293" s="134"/>
      <c r="CT293" s="134"/>
      <c r="CU293" s="134"/>
      <c r="CV293" s="134"/>
      <c r="CW293" s="134"/>
      <c r="CX293" s="134"/>
      <c r="CY293" s="134"/>
      <c r="CZ293" s="134"/>
      <c r="DA293" s="134"/>
      <c r="DB293" s="134"/>
      <c r="DC293" s="134"/>
      <c r="DD293" s="134"/>
      <c r="DE293" s="134"/>
      <c r="DF293" s="134"/>
      <c r="DG293" s="134"/>
      <c r="DH293" s="134"/>
      <c r="DI293" s="134"/>
      <c r="DJ293" s="134"/>
      <c r="DK293" s="134"/>
      <c r="DL293" s="134"/>
      <c r="DM293" s="134"/>
      <c r="DN293" s="134"/>
      <c r="DO293" s="134"/>
      <c r="DP293" s="134"/>
      <c r="DQ293" s="134"/>
      <c r="DR293" s="134"/>
      <c r="DS293" s="134"/>
      <c r="DT293" s="134"/>
      <c r="DU293" s="134"/>
      <c r="DV293" s="134"/>
      <c r="DW293" s="134"/>
      <c r="DX293" s="134"/>
      <c r="DY293" s="134"/>
      <c r="DZ293" s="134"/>
      <c r="EA293" s="134"/>
      <c r="EB293" s="134"/>
      <c r="EC293" s="134"/>
      <c r="ED293" s="134"/>
      <c r="EE293" s="134"/>
      <c r="EF293" s="134"/>
      <c r="EG293" s="134"/>
      <c r="EH293" s="134"/>
      <c r="EI293" s="134"/>
      <c r="EJ293" s="134"/>
      <c r="EK293" s="134"/>
      <c r="EL293" s="134"/>
      <c r="EM293" s="134"/>
      <c r="EN293" s="134"/>
      <c r="EO293" s="134"/>
      <c r="EP293" s="134"/>
      <c r="EQ293" s="134"/>
      <c r="ER293" s="134"/>
      <c r="ES293" s="134"/>
      <c r="ET293" s="134"/>
      <c r="EU293" s="134"/>
      <c r="EV293" s="134"/>
      <c r="EW293" s="134"/>
      <c r="EX293" s="134"/>
      <c r="EY293" s="134"/>
      <c r="EZ293" s="134"/>
      <c r="FA293" s="134"/>
      <c r="FB293" s="134"/>
      <c r="FC293" s="134"/>
      <c r="FD293" s="134"/>
      <c r="FE293" s="134"/>
      <c r="FF293" s="134"/>
      <c r="FG293" s="134"/>
      <c r="FH293" s="134"/>
      <c r="FI293" s="134"/>
      <c r="FJ293" s="134"/>
      <c r="FK293" s="134"/>
      <c r="FL293" s="134"/>
      <c r="FM293" s="134"/>
      <c r="FN293" s="134"/>
      <c r="FO293" s="134"/>
      <c r="FP293" s="134"/>
      <c r="FQ293" s="134"/>
      <c r="FR293" s="134"/>
      <c r="FS293" s="134"/>
      <c r="FT293" s="134"/>
      <c r="FU293" s="134"/>
      <c r="FV293" s="134"/>
      <c r="FW293" s="134"/>
      <c r="FX293" s="134"/>
      <c r="FY293" s="134"/>
      <c r="FZ293" s="134"/>
      <c r="GA293" s="134"/>
      <c r="GB293" s="134"/>
      <c r="GC293" s="134"/>
      <c r="GD293" s="134"/>
      <c r="GE293" s="134"/>
      <c r="GF293" s="134"/>
      <c r="GG293" s="134"/>
      <c r="GH293" s="134"/>
      <c r="GI293" s="134"/>
      <c r="GJ293" s="134"/>
      <c r="GK293" s="134"/>
      <c r="GL293" s="134"/>
      <c r="GM293" s="134"/>
      <c r="GN293" s="134"/>
      <c r="GO293" s="134"/>
      <c r="GP293" s="134"/>
      <c r="GQ293" s="134"/>
      <c r="GR293" s="134"/>
      <c r="GS293" s="134"/>
      <c r="GT293" s="134"/>
      <c r="GU293" s="134"/>
      <c r="GV293" s="134"/>
      <c r="GW293" s="134"/>
      <c r="GX293" s="134"/>
      <c r="GY293" s="134"/>
      <c r="GZ293" s="134"/>
      <c r="HA293" s="134"/>
      <c r="HB293" s="134"/>
      <c r="HC293" s="134"/>
      <c r="HD293" s="134"/>
      <c r="HE293" s="134"/>
      <c r="HF293" s="134"/>
      <c r="HG293" s="134"/>
      <c r="HH293" s="134"/>
      <c r="HI293" s="134"/>
      <c r="HJ293" s="134"/>
      <c r="HK293" s="134"/>
      <c r="HL293" s="134"/>
      <c r="HM293" s="134"/>
      <c r="HN293" s="134"/>
      <c r="HO293" s="134"/>
      <c r="HP293" s="134"/>
      <c r="HQ293" s="134"/>
      <c r="HR293" s="134"/>
      <c r="HS293" s="134"/>
      <c r="HT293" s="134"/>
      <c r="HU293" s="134"/>
      <c r="HV293" s="134"/>
      <c r="HW293" s="134"/>
      <c r="HX293" s="134"/>
      <c r="HY293" s="134"/>
      <c r="HZ293" s="134"/>
      <c r="IA293" s="134"/>
      <c r="IB293" s="134"/>
      <c r="IC293" s="134"/>
      <c r="ID293" s="134"/>
      <c r="IE293" s="134"/>
      <c r="IF293" s="134"/>
      <c r="IG293" s="134"/>
      <c r="IH293" s="134"/>
      <c r="II293" s="134"/>
      <c r="IJ293" s="134"/>
      <c r="IK293" s="134"/>
      <c r="IL293" s="134"/>
      <c r="IM293" s="134"/>
      <c r="IN293" s="134"/>
      <c r="IO293" s="134"/>
      <c r="IP293" s="134"/>
      <c r="IQ293" s="134"/>
      <c r="IR293" s="134"/>
      <c r="IS293" s="134"/>
      <c r="IT293" s="134"/>
      <c r="IU293" s="134"/>
    </row>
    <row r="294" spans="1:255" ht="48" customHeight="1" x14ac:dyDescent="0.2">
      <c r="A294" s="236" t="str">
        <f>'HECVAT - Full'!A294</f>
        <v>HIPA-26</v>
      </c>
      <c r="B294" s="236" t="str">
        <f>VLOOKUP(A294,'HECVAT - Full'!A$24:B$312,2,FALSE)</f>
        <v>Does your data backup and retention policies and practices meet HIPAA requirements?</v>
      </c>
      <c r="C294" s="237" t="s">
        <v>607</v>
      </c>
      <c r="D294" s="247" t="s">
        <v>2971</v>
      </c>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34"/>
      <c r="BQ294" s="134"/>
      <c r="BR294" s="134"/>
      <c r="BS294" s="134"/>
      <c r="BT294" s="134"/>
      <c r="BU294" s="134"/>
      <c r="BV294" s="134"/>
      <c r="BW294" s="134"/>
      <c r="BX294" s="134"/>
      <c r="BY294" s="134"/>
      <c r="BZ294" s="134"/>
      <c r="CA294" s="134"/>
      <c r="CB294" s="134"/>
      <c r="CC294" s="134"/>
      <c r="CD294" s="134"/>
      <c r="CE294" s="134"/>
      <c r="CF294" s="134"/>
      <c r="CG294" s="134"/>
      <c r="CH294" s="134"/>
      <c r="CI294" s="134"/>
      <c r="CJ294" s="134"/>
      <c r="CK294" s="134"/>
      <c r="CL294" s="134"/>
      <c r="CM294" s="134"/>
      <c r="CN294" s="134"/>
      <c r="CO294" s="134"/>
      <c r="CP294" s="134"/>
      <c r="CQ294" s="134"/>
      <c r="CR294" s="134"/>
      <c r="CS294" s="134"/>
      <c r="CT294" s="134"/>
      <c r="CU294" s="134"/>
      <c r="CV294" s="134"/>
      <c r="CW294" s="134"/>
      <c r="CX294" s="134"/>
      <c r="CY294" s="134"/>
      <c r="CZ294" s="134"/>
      <c r="DA294" s="134"/>
      <c r="DB294" s="134"/>
      <c r="DC294" s="134"/>
      <c r="DD294" s="134"/>
      <c r="DE294" s="134"/>
      <c r="DF294" s="134"/>
      <c r="DG294" s="134"/>
      <c r="DH294" s="134"/>
      <c r="DI294" s="134"/>
      <c r="DJ294" s="134"/>
      <c r="DK294" s="134"/>
      <c r="DL294" s="134"/>
      <c r="DM294" s="134"/>
      <c r="DN294" s="134"/>
      <c r="DO294" s="134"/>
      <c r="DP294" s="134"/>
      <c r="DQ294" s="134"/>
      <c r="DR294" s="134"/>
      <c r="DS294" s="134"/>
      <c r="DT294" s="134"/>
      <c r="DU294" s="134"/>
      <c r="DV294" s="134"/>
      <c r="DW294" s="134"/>
      <c r="DX294" s="134"/>
      <c r="DY294" s="134"/>
      <c r="DZ294" s="134"/>
      <c r="EA294" s="134"/>
      <c r="EB294" s="134"/>
      <c r="EC294" s="134"/>
      <c r="ED294" s="134"/>
      <c r="EE294" s="134"/>
      <c r="EF294" s="134"/>
      <c r="EG294" s="134"/>
      <c r="EH294" s="134"/>
      <c r="EI294" s="134"/>
      <c r="EJ294" s="134"/>
      <c r="EK294" s="134"/>
      <c r="EL294" s="134"/>
      <c r="EM294" s="134"/>
      <c r="EN294" s="134"/>
      <c r="EO294" s="134"/>
      <c r="EP294" s="134"/>
      <c r="EQ294" s="134"/>
      <c r="ER294" s="134"/>
      <c r="ES294" s="134"/>
      <c r="ET294" s="134"/>
      <c r="EU294" s="134"/>
      <c r="EV294" s="134"/>
      <c r="EW294" s="134"/>
      <c r="EX294" s="134"/>
      <c r="EY294" s="134"/>
      <c r="EZ294" s="134"/>
      <c r="FA294" s="134"/>
      <c r="FB294" s="134"/>
      <c r="FC294" s="134"/>
      <c r="FD294" s="134"/>
      <c r="FE294" s="134"/>
      <c r="FF294" s="134"/>
      <c r="FG294" s="134"/>
      <c r="FH294" s="134"/>
      <c r="FI294" s="134"/>
      <c r="FJ294" s="134"/>
      <c r="FK294" s="134"/>
      <c r="FL294" s="134"/>
      <c r="FM294" s="134"/>
      <c r="FN294" s="134"/>
      <c r="FO294" s="134"/>
      <c r="FP294" s="134"/>
      <c r="FQ294" s="134"/>
      <c r="FR294" s="134"/>
      <c r="FS294" s="134"/>
      <c r="FT294" s="134"/>
      <c r="FU294" s="134"/>
      <c r="FV294" s="134"/>
      <c r="FW294" s="134"/>
      <c r="FX294" s="134"/>
      <c r="FY294" s="134"/>
      <c r="FZ294" s="134"/>
      <c r="GA294" s="134"/>
      <c r="GB294" s="134"/>
      <c r="GC294" s="134"/>
      <c r="GD294" s="134"/>
      <c r="GE294" s="134"/>
      <c r="GF294" s="134"/>
      <c r="GG294" s="134"/>
      <c r="GH294" s="134"/>
      <c r="GI294" s="134"/>
      <c r="GJ294" s="134"/>
      <c r="GK294" s="134"/>
      <c r="GL294" s="134"/>
      <c r="GM294" s="134"/>
      <c r="GN294" s="134"/>
      <c r="GO294" s="134"/>
      <c r="GP294" s="134"/>
      <c r="GQ294" s="134"/>
      <c r="GR294" s="134"/>
      <c r="GS294" s="134"/>
      <c r="GT294" s="134"/>
      <c r="GU294" s="134"/>
      <c r="GV294" s="134"/>
      <c r="GW294" s="134"/>
      <c r="GX294" s="134"/>
      <c r="GY294" s="134"/>
      <c r="GZ294" s="134"/>
      <c r="HA294" s="134"/>
      <c r="HB294" s="134"/>
      <c r="HC294" s="134"/>
      <c r="HD294" s="134"/>
      <c r="HE294" s="134"/>
      <c r="HF294" s="134"/>
      <c r="HG294" s="134"/>
      <c r="HH294" s="134"/>
      <c r="HI294" s="134"/>
      <c r="HJ294" s="134"/>
      <c r="HK294" s="134"/>
      <c r="HL294" s="134"/>
      <c r="HM294" s="134"/>
      <c r="HN294" s="134"/>
      <c r="HO294" s="134"/>
      <c r="HP294" s="134"/>
      <c r="HQ294" s="134"/>
      <c r="HR294" s="134"/>
      <c r="HS294" s="134"/>
      <c r="HT294" s="134"/>
      <c r="HU294" s="134"/>
      <c r="HV294" s="134"/>
      <c r="HW294" s="134"/>
      <c r="HX294" s="134"/>
      <c r="HY294" s="134"/>
      <c r="HZ294" s="134"/>
      <c r="IA294" s="134"/>
      <c r="IB294" s="134"/>
      <c r="IC294" s="134"/>
      <c r="ID294" s="134"/>
      <c r="IE294" s="134"/>
      <c r="IF294" s="134"/>
      <c r="IG294" s="134"/>
      <c r="IH294" s="134"/>
      <c r="II294" s="134"/>
      <c r="IJ294" s="134"/>
      <c r="IK294" s="134"/>
      <c r="IL294" s="134"/>
      <c r="IM294" s="134"/>
      <c r="IN294" s="134"/>
      <c r="IO294" s="134"/>
      <c r="IP294" s="134"/>
      <c r="IQ294" s="134"/>
      <c r="IR294" s="134"/>
      <c r="IS294" s="134"/>
      <c r="IT294" s="134"/>
      <c r="IU294" s="134"/>
    </row>
    <row r="295" spans="1:255" ht="48" customHeight="1" x14ac:dyDescent="0.2">
      <c r="A295" s="236" t="str">
        <f>'HECVAT - Full'!A295</f>
        <v>HIPA-27</v>
      </c>
      <c r="B295" s="236" t="str">
        <f>VLOOKUP(A295,'HECVAT - Full'!A$24:B$312,2,FALSE)</f>
        <v>Do you have a disaster recovery plan and emergency mode operation plan?</v>
      </c>
      <c r="C295" s="237" t="s">
        <v>608</v>
      </c>
      <c r="D295" s="247" t="s">
        <v>2971</v>
      </c>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34"/>
      <c r="BQ295" s="134"/>
      <c r="BR295" s="134"/>
      <c r="BS295" s="134"/>
      <c r="BT295" s="134"/>
      <c r="BU295" s="134"/>
      <c r="BV295" s="134"/>
      <c r="BW295" s="134"/>
      <c r="BX295" s="134"/>
      <c r="BY295" s="134"/>
      <c r="BZ295" s="134"/>
      <c r="CA295" s="134"/>
      <c r="CB295" s="134"/>
      <c r="CC295" s="134"/>
      <c r="CD295" s="134"/>
      <c r="CE295" s="134"/>
      <c r="CF295" s="134"/>
      <c r="CG295" s="134"/>
      <c r="CH295" s="134"/>
      <c r="CI295" s="134"/>
      <c r="CJ295" s="134"/>
      <c r="CK295" s="134"/>
      <c r="CL295" s="134"/>
      <c r="CM295" s="134"/>
      <c r="CN295" s="134"/>
      <c r="CO295" s="134"/>
      <c r="CP295" s="134"/>
      <c r="CQ295" s="134"/>
      <c r="CR295" s="134"/>
      <c r="CS295" s="134"/>
      <c r="CT295" s="134"/>
      <c r="CU295" s="134"/>
      <c r="CV295" s="134"/>
      <c r="CW295" s="134"/>
      <c r="CX295" s="134"/>
      <c r="CY295" s="134"/>
      <c r="CZ295" s="134"/>
      <c r="DA295" s="134"/>
      <c r="DB295" s="134"/>
      <c r="DC295" s="134"/>
      <c r="DD295" s="134"/>
      <c r="DE295" s="134"/>
      <c r="DF295" s="134"/>
      <c r="DG295" s="134"/>
      <c r="DH295" s="134"/>
      <c r="DI295" s="134"/>
      <c r="DJ295" s="134"/>
      <c r="DK295" s="134"/>
      <c r="DL295" s="134"/>
      <c r="DM295" s="134"/>
      <c r="DN295" s="134"/>
      <c r="DO295" s="134"/>
      <c r="DP295" s="134"/>
      <c r="DQ295" s="134"/>
      <c r="DR295" s="134"/>
      <c r="DS295" s="134"/>
      <c r="DT295" s="134"/>
      <c r="DU295" s="134"/>
      <c r="DV295" s="134"/>
      <c r="DW295" s="134"/>
      <c r="DX295" s="134"/>
      <c r="DY295" s="134"/>
      <c r="DZ295" s="134"/>
      <c r="EA295" s="134"/>
      <c r="EB295" s="134"/>
      <c r="EC295" s="134"/>
      <c r="ED295" s="134"/>
      <c r="EE295" s="134"/>
      <c r="EF295" s="134"/>
      <c r="EG295" s="134"/>
      <c r="EH295" s="134"/>
      <c r="EI295" s="134"/>
      <c r="EJ295" s="134"/>
      <c r="EK295" s="134"/>
      <c r="EL295" s="134"/>
      <c r="EM295" s="134"/>
      <c r="EN295" s="134"/>
      <c r="EO295" s="134"/>
      <c r="EP295" s="134"/>
      <c r="EQ295" s="134"/>
      <c r="ER295" s="134"/>
      <c r="ES295" s="134"/>
      <c r="ET295" s="134"/>
      <c r="EU295" s="134"/>
      <c r="EV295" s="134"/>
      <c r="EW295" s="134"/>
      <c r="EX295" s="134"/>
      <c r="EY295" s="134"/>
      <c r="EZ295" s="134"/>
      <c r="FA295" s="134"/>
      <c r="FB295" s="134"/>
      <c r="FC295" s="134"/>
      <c r="FD295" s="134"/>
      <c r="FE295" s="134"/>
      <c r="FF295" s="134"/>
      <c r="FG295" s="134"/>
      <c r="FH295" s="134"/>
      <c r="FI295" s="134"/>
      <c r="FJ295" s="134"/>
      <c r="FK295" s="134"/>
      <c r="FL295" s="134"/>
      <c r="FM295" s="134"/>
      <c r="FN295" s="134"/>
      <c r="FO295" s="134"/>
      <c r="FP295" s="134"/>
      <c r="FQ295" s="134"/>
      <c r="FR295" s="134"/>
      <c r="FS295" s="134"/>
      <c r="FT295" s="134"/>
      <c r="FU295" s="134"/>
      <c r="FV295" s="134"/>
      <c r="FW295" s="134"/>
      <c r="FX295" s="134"/>
      <c r="FY295" s="134"/>
      <c r="FZ295" s="134"/>
      <c r="GA295" s="134"/>
      <c r="GB295" s="134"/>
      <c r="GC295" s="134"/>
      <c r="GD295" s="134"/>
      <c r="GE295" s="134"/>
      <c r="GF295" s="134"/>
      <c r="GG295" s="134"/>
      <c r="GH295" s="134"/>
      <c r="GI295" s="134"/>
      <c r="GJ295" s="134"/>
      <c r="GK295" s="134"/>
      <c r="GL295" s="134"/>
      <c r="GM295" s="134"/>
      <c r="GN295" s="134"/>
      <c r="GO295" s="134"/>
      <c r="GP295" s="134"/>
      <c r="GQ295" s="134"/>
      <c r="GR295" s="134"/>
      <c r="GS295" s="134"/>
      <c r="GT295" s="134"/>
      <c r="GU295" s="134"/>
      <c r="GV295" s="134"/>
      <c r="GW295" s="134"/>
      <c r="GX295" s="134"/>
      <c r="GY295" s="134"/>
      <c r="GZ295" s="134"/>
      <c r="HA295" s="134"/>
      <c r="HB295" s="134"/>
      <c r="HC295" s="134"/>
      <c r="HD295" s="134"/>
      <c r="HE295" s="134"/>
      <c r="HF295" s="134"/>
      <c r="HG295" s="134"/>
      <c r="HH295" s="134"/>
      <c r="HI295" s="134"/>
      <c r="HJ295" s="134"/>
      <c r="HK295" s="134"/>
      <c r="HL295" s="134"/>
      <c r="HM295" s="134"/>
      <c r="HN295" s="134"/>
      <c r="HO295" s="134"/>
      <c r="HP295" s="134"/>
      <c r="HQ295" s="134"/>
      <c r="HR295" s="134"/>
      <c r="HS295" s="134"/>
      <c r="HT295" s="134"/>
      <c r="HU295" s="134"/>
      <c r="HV295" s="134"/>
      <c r="HW295" s="134"/>
      <c r="HX295" s="134"/>
      <c r="HY295" s="134"/>
      <c r="HZ295" s="134"/>
      <c r="IA295" s="134"/>
      <c r="IB295" s="134"/>
      <c r="IC295" s="134"/>
      <c r="ID295" s="134"/>
      <c r="IE295" s="134"/>
      <c r="IF295" s="134"/>
      <c r="IG295" s="134"/>
      <c r="IH295" s="134"/>
      <c r="II295" s="134"/>
      <c r="IJ295" s="134"/>
      <c r="IK295" s="134"/>
      <c r="IL295" s="134"/>
      <c r="IM295" s="134"/>
      <c r="IN295" s="134"/>
      <c r="IO295" s="134"/>
      <c r="IP295" s="134"/>
      <c r="IQ295" s="134"/>
      <c r="IR295" s="134"/>
      <c r="IS295" s="134"/>
      <c r="IT295" s="134"/>
      <c r="IU295" s="134"/>
    </row>
    <row r="296" spans="1:255" ht="48" customHeight="1" x14ac:dyDescent="0.2">
      <c r="A296" s="236" t="str">
        <f>'HECVAT - Full'!A296</f>
        <v>HIPA-28</v>
      </c>
      <c r="B296" s="236" t="str">
        <f>VLOOKUP(A296,'HECVAT - Full'!A$24:B$312,2,FALSE)</f>
        <v>Have the policies/plans mentioned above been tested?</v>
      </c>
      <c r="C296" s="237" t="s">
        <v>608</v>
      </c>
      <c r="D296" s="247" t="s">
        <v>2971</v>
      </c>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34"/>
      <c r="BQ296" s="134"/>
      <c r="BR296" s="134"/>
      <c r="BS296" s="134"/>
      <c r="BT296" s="134"/>
      <c r="BU296" s="134"/>
      <c r="BV296" s="134"/>
      <c r="BW296" s="134"/>
      <c r="BX296" s="134"/>
      <c r="BY296" s="134"/>
      <c r="BZ296" s="134"/>
      <c r="CA296" s="134"/>
      <c r="CB296" s="134"/>
      <c r="CC296" s="134"/>
      <c r="CD296" s="134"/>
      <c r="CE296" s="134"/>
      <c r="CF296" s="134"/>
      <c r="CG296" s="134"/>
      <c r="CH296" s="134"/>
      <c r="CI296" s="134"/>
      <c r="CJ296" s="134"/>
      <c r="CK296" s="134"/>
      <c r="CL296" s="134"/>
      <c r="CM296" s="134"/>
      <c r="CN296" s="134"/>
      <c r="CO296" s="134"/>
      <c r="CP296" s="134"/>
      <c r="CQ296" s="134"/>
      <c r="CR296" s="134"/>
      <c r="CS296" s="134"/>
      <c r="CT296" s="134"/>
      <c r="CU296" s="134"/>
      <c r="CV296" s="134"/>
      <c r="CW296" s="134"/>
      <c r="CX296" s="134"/>
      <c r="CY296" s="134"/>
      <c r="CZ296" s="134"/>
      <c r="DA296" s="134"/>
      <c r="DB296" s="134"/>
      <c r="DC296" s="134"/>
      <c r="DD296" s="134"/>
      <c r="DE296" s="134"/>
      <c r="DF296" s="134"/>
      <c r="DG296" s="134"/>
      <c r="DH296" s="134"/>
      <c r="DI296" s="134"/>
      <c r="DJ296" s="134"/>
      <c r="DK296" s="134"/>
      <c r="DL296" s="134"/>
      <c r="DM296" s="134"/>
      <c r="DN296" s="134"/>
      <c r="DO296" s="134"/>
      <c r="DP296" s="134"/>
      <c r="DQ296" s="134"/>
      <c r="DR296" s="134"/>
      <c r="DS296" s="134"/>
      <c r="DT296" s="134"/>
      <c r="DU296" s="134"/>
      <c r="DV296" s="134"/>
      <c r="DW296" s="134"/>
      <c r="DX296" s="134"/>
      <c r="DY296" s="134"/>
      <c r="DZ296" s="134"/>
      <c r="EA296" s="134"/>
      <c r="EB296" s="134"/>
      <c r="EC296" s="134"/>
      <c r="ED296" s="134"/>
      <c r="EE296" s="134"/>
      <c r="EF296" s="134"/>
      <c r="EG296" s="134"/>
      <c r="EH296" s="134"/>
      <c r="EI296" s="134"/>
      <c r="EJ296" s="134"/>
      <c r="EK296" s="134"/>
      <c r="EL296" s="134"/>
      <c r="EM296" s="134"/>
      <c r="EN296" s="134"/>
      <c r="EO296" s="134"/>
      <c r="EP296" s="134"/>
      <c r="EQ296" s="134"/>
      <c r="ER296" s="134"/>
      <c r="ES296" s="134"/>
      <c r="ET296" s="134"/>
      <c r="EU296" s="134"/>
      <c r="EV296" s="134"/>
      <c r="EW296" s="134"/>
      <c r="EX296" s="134"/>
      <c r="EY296" s="134"/>
      <c r="EZ296" s="134"/>
      <c r="FA296" s="134"/>
      <c r="FB296" s="134"/>
      <c r="FC296" s="134"/>
      <c r="FD296" s="134"/>
      <c r="FE296" s="134"/>
      <c r="FF296" s="134"/>
      <c r="FG296" s="134"/>
      <c r="FH296" s="134"/>
      <c r="FI296" s="134"/>
      <c r="FJ296" s="134"/>
      <c r="FK296" s="134"/>
      <c r="FL296" s="134"/>
      <c r="FM296" s="134"/>
      <c r="FN296" s="134"/>
      <c r="FO296" s="134"/>
      <c r="FP296" s="134"/>
      <c r="FQ296" s="134"/>
      <c r="FR296" s="134"/>
      <c r="FS296" s="134"/>
      <c r="FT296" s="134"/>
      <c r="FU296" s="134"/>
      <c r="FV296" s="134"/>
      <c r="FW296" s="134"/>
      <c r="FX296" s="134"/>
      <c r="FY296" s="134"/>
      <c r="FZ296" s="134"/>
      <c r="GA296" s="134"/>
      <c r="GB296" s="134"/>
      <c r="GC296" s="134"/>
      <c r="GD296" s="134"/>
      <c r="GE296" s="134"/>
      <c r="GF296" s="134"/>
      <c r="GG296" s="134"/>
      <c r="GH296" s="134"/>
      <c r="GI296" s="134"/>
      <c r="GJ296" s="134"/>
      <c r="GK296" s="134"/>
      <c r="GL296" s="134"/>
      <c r="GM296" s="134"/>
      <c r="GN296" s="134"/>
      <c r="GO296" s="134"/>
      <c r="GP296" s="134"/>
      <c r="GQ296" s="134"/>
      <c r="GR296" s="134"/>
      <c r="GS296" s="134"/>
      <c r="GT296" s="134"/>
      <c r="GU296" s="134"/>
      <c r="GV296" s="134"/>
      <c r="GW296" s="134"/>
      <c r="GX296" s="134"/>
      <c r="GY296" s="134"/>
      <c r="GZ296" s="134"/>
      <c r="HA296" s="134"/>
      <c r="HB296" s="134"/>
      <c r="HC296" s="134"/>
      <c r="HD296" s="134"/>
      <c r="HE296" s="134"/>
      <c r="HF296" s="134"/>
      <c r="HG296" s="134"/>
      <c r="HH296" s="134"/>
      <c r="HI296" s="134"/>
      <c r="HJ296" s="134"/>
      <c r="HK296" s="134"/>
      <c r="HL296" s="134"/>
      <c r="HM296" s="134"/>
      <c r="HN296" s="134"/>
      <c r="HO296" s="134"/>
      <c r="HP296" s="134"/>
      <c r="HQ296" s="134"/>
      <c r="HR296" s="134"/>
      <c r="HS296" s="134"/>
      <c r="HT296" s="134"/>
      <c r="HU296" s="134"/>
      <c r="HV296" s="134"/>
      <c r="HW296" s="134"/>
      <c r="HX296" s="134"/>
      <c r="HY296" s="134"/>
      <c r="HZ296" s="134"/>
      <c r="IA296" s="134"/>
      <c r="IB296" s="134"/>
      <c r="IC296" s="134"/>
      <c r="ID296" s="134"/>
      <c r="IE296" s="134"/>
      <c r="IF296" s="134"/>
      <c r="IG296" s="134"/>
      <c r="IH296" s="134"/>
      <c r="II296" s="134"/>
      <c r="IJ296" s="134"/>
      <c r="IK296" s="134"/>
      <c r="IL296" s="134"/>
      <c r="IM296" s="134"/>
      <c r="IN296" s="134"/>
      <c r="IO296" s="134"/>
      <c r="IP296" s="134"/>
      <c r="IQ296" s="134"/>
      <c r="IR296" s="134"/>
      <c r="IS296" s="134"/>
      <c r="IT296" s="134"/>
      <c r="IU296" s="134"/>
    </row>
    <row r="297" spans="1:255" ht="48" customHeight="1" x14ac:dyDescent="0.2">
      <c r="A297" s="236" t="str">
        <f>'HECVAT - Full'!A297</f>
        <v>HIPA-29</v>
      </c>
      <c r="B297" s="236" t="str">
        <f>VLOOKUP(A297,'HECVAT - Full'!A$24:B$312,2,FALSE)</f>
        <v>Can you provide a HIPAA compliance attestation document?</v>
      </c>
      <c r="C297" s="237" t="s">
        <v>609</v>
      </c>
      <c r="D297" s="247" t="s">
        <v>2971</v>
      </c>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34"/>
      <c r="BQ297" s="134"/>
      <c r="BR297" s="134"/>
      <c r="BS297" s="134"/>
      <c r="BT297" s="134"/>
      <c r="BU297" s="134"/>
      <c r="BV297" s="134"/>
      <c r="BW297" s="134"/>
      <c r="BX297" s="134"/>
      <c r="BY297" s="134"/>
      <c r="BZ297" s="134"/>
      <c r="CA297" s="134"/>
      <c r="CB297" s="134"/>
      <c r="CC297" s="134"/>
      <c r="CD297" s="134"/>
      <c r="CE297" s="134"/>
      <c r="CF297" s="134"/>
      <c r="CG297" s="134"/>
      <c r="CH297" s="134"/>
      <c r="CI297" s="134"/>
      <c r="CJ297" s="134"/>
      <c r="CK297" s="134"/>
      <c r="CL297" s="134"/>
      <c r="CM297" s="134"/>
      <c r="CN297" s="134"/>
      <c r="CO297" s="134"/>
      <c r="CP297" s="134"/>
      <c r="CQ297" s="134"/>
      <c r="CR297" s="134"/>
      <c r="CS297" s="134"/>
      <c r="CT297" s="134"/>
      <c r="CU297" s="134"/>
      <c r="CV297" s="134"/>
      <c r="CW297" s="134"/>
      <c r="CX297" s="134"/>
      <c r="CY297" s="134"/>
      <c r="CZ297" s="134"/>
      <c r="DA297" s="134"/>
      <c r="DB297" s="134"/>
      <c r="DC297" s="134"/>
      <c r="DD297" s="134"/>
      <c r="DE297" s="134"/>
      <c r="DF297" s="134"/>
      <c r="DG297" s="134"/>
      <c r="DH297" s="134"/>
      <c r="DI297" s="134"/>
      <c r="DJ297" s="134"/>
      <c r="DK297" s="134"/>
      <c r="DL297" s="134"/>
      <c r="DM297" s="134"/>
      <c r="DN297" s="134"/>
      <c r="DO297" s="134"/>
      <c r="DP297" s="134"/>
      <c r="DQ297" s="134"/>
      <c r="DR297" s="134"/>
      <c r="DS297" s="134"/>
      <c r="DT297" s="134"/>
      <c r="DU297" s="134"/>
      <c r="DV297" s="134"/>
      <c r="DW297" s="134"/>
      <c r="DX297" s="134"/>
      <c r="DY297" s="134"/>
      <c r="DZ297" s="134"/>
      <c r="EA297" s="134"/>
      <c r="EB297" s="134"/>
      <c r="EC297" s="134"/>
      <c r="ED297" s="134"/>
      <c r="EE297" s="134"/>
      <c r="EF297" s="134"/>
      <c r="EG297" s="134"/>
      <c r="EH297" s="134"/>
      <c r="EI297" s="134"/>
      <c r="EJ297" s="134"/>
      <c r="EK297" s="134"/>
      <c r="EL297" s="134"/>
      <c r="EM297" s="134"/>
      <c r="EN297" s="134"/>
      <c r="EO297" s="134"/>
      <c r="EP297" s="134"/>
      <c r="EQ297" s="134"/>
      <c r="ER297" s="134"/>
      <c r="ES297" s="134"/>
      <c r="ET297" s="134"/>
      <c r="EU297" s="134"/>
      <c r="EV297" s="134"/>
      <c r="EW297" s="134"/>
      <c r="EX297" s="134"/>
      <c r="EY297" s="134"/>
      <c r="EZ297" s="134"/>
      <c r="FA297" s="134"/>
      <c r="FB297" s="134"/>
      <c r="FC297" s="134"/>
      <c r="FD297" s="134"/>
      <c r="FE297" s="134"/>
      <c r="FF297" s="134"/>
      <c r="FG297" s="134"/>
      <c r="FH297" s="134"/>
      <c r="FI297" s="134"/>
      <c r="FJ297" s="134"/>
      <c r="FK297" s="134"/>
      <c r="FL297" s="134"/>
      <c r="FM297" s="134"/>
      <c r="FN297" s="134"/>
      <c r="FO297" s="134"/>
      <c r="FP297" s="134"/>
      <c r="FQ297" s="134"/>
      <c r="FR297" s="134"/>
      <c r="FS297" s="134"/>
      <c r="FT297" s="134"/>
      <c r="FU297" s="134"/>
      <c r="FV297" s="134"/>
      <c r="FW297" s="134"/>
      <c r="FX297" s="134"/>
      <c r="FY297" s="134"/>
      <c r="FZ297" s="134"/>
      <c r="GA297" s="134"/>
      <c r="GB297" s="134"/>
      <c r="GC297" s="134"/>
      <c r="GD297" s="134"/>
      <c r="GE297" s="134"/>
      <c r="GF297" s="134"/>
      <c r="GG297" s="134"/>
      <c r="GH297" s="134"/>
      <c r="GI297" s="134"/>
      <c r="GJ297" s="134"/>
      <c r="GK297" s="134"/>
      <c r="GL297" s="134"/>
      <c r="GM297" s="134"/>
      <c r="GN297" s="134"/>
      <c r="GO297" s="134"/>
      <c r="GP297" s="134"/>
      <c r="GQ297" s="134"/>
      <c r="GR297" s="134"/>
      <c r="GS297" s="134"/>
      <c r="GT297" s="134"/>
      <c r="GU297" s="134"/>
      <c r="GV297" s="134"/>
      <c r="GW297" s="134"/>
      <c r="GX297" s="134"/>
      <c r="GY297" s="134"/>
      <c r="GZ297" s="134"/>
      <c r="HA297" s="134"/>
      <c r="HB297" s="134"/>
      <c r="HC297" s="134"/>
      <c r="HD297" s="134"/>
      <c r="HE297" s="134"/>
      <c r="HF297" s="134"/>
      <c r="HG297" s="134"/>
      <c r="HH297" s="134"/>
      <c r="HI297" s="134"/>
      <c r="HJ297" s="134"/>
      <c r="HK297" s="134"/>
      <c r="HL297" s="134"/>
      <c r="HM297" s="134"/>
      <c r="HN297" s="134"/>
      <c r="HO297" s="134"/>
      <c r="HP297" s="134"/>
      <c r="HQ297" s="134"/>
      <c r="HR297" s="134"/>
      <c r="HS297" s="134"/>
      <c r="HT297" s="134"/>
      <c r="HU297" s="134"/>
      <c r="HV297" s="134"/>
      <c r="HW297" s="134"/>
      <c r="HX297" s="134"/>
      <c r="HY297" s="134"/>
      <c r="HZ297" s="134"/>
      <c r="IA297" s="134"/>
      <c r="IB297" s="134"/>
      <c r="IC297" s="134"/>
      <c r="ID297" s="134"/>
      <c r="IE297" s="134"/>
      <c r="IF297" s="134"/>
      <c r="IG297" s="134"/>
      <c r="IH297" s="134"/>
      <c r="II297" s="134"/>
      <c r="IJ297" s="134"/>
      <c r="IK297" s="134"/>
      <c r="IL297" s="134"/>
      <c r="IM297" s="134"/>
      <c r="IN297" s="134"/>
      <c r="IO297" s="134"/>
      <c r="IP297" s="134"/>
      <c r="IQ297" s="134"/>
      <c r="IR297" s="134"/>
      <c r="IS297" s="134"/>
      <c r="IT297" s="134"/>
      <c r="IU297" s="134"/>
    </row>
    <row r="298" spans="1:255" ht="48" customHeight="1" x14ac:dyDescent="0.2">
      <c r="A298" s="236" t="str">
        <f>'HECVAT - Full'!A298</f>
        <v>HIPA-30</v>
      </c>
      <c r="B298" s="236" t="str">
        <f>VLOOKUP(A298,'HECVAT - Full'!A$24:B$312,2,FALSE)</f>
        <v>Are you willing to enter into a Business Associate Agreement (BAA)?</v>
      </c>
      <c r="C298" s="237" t="s">
        <v>613</v>
      </c>
      <c r="D298" s="247" t="s">
        <v>2971</v>
      </c>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34"/>
      <c r="BQ298" s="134"/>
      <c r="BR298" s="134"/>
      <c r="BS298" s="134"/>
      <c r="BT298" s="134"/>
      <c r="BU298" s="134"/>
      <c r="BV298" s="134"/>
      <c r="BW298" s="134"/>
      <c r="BX298" s="134"/>
      <c r="BY298" s="134"/>
      <c r="BZ298" s="134"/>
      <c r="CA298" s="134"/>
      <c r="CB298" s="134"/>
      <c r="CC298" s="134"/>
      <c r="CD298" s="134"/>
      <c r="CE298" s="134"/>
      <c r="CF298" s="134"/>
      <c r="CG298" s="134"/>
      <c r="CH298" s="134"/>
      <c r="CI298" s="134"/>
      <c r="CJ298" s="134"/>
      <c r="CK298" s="134"/>
      <c r="CL298" s="134"/>
      <c r="CM298" s="134"/>
      <c r="CN298" s="134"/>
      <c r="CO298" s="134"/>
      <c r="CP298" s="134"/>
      <c r="CQ298" s="134"/>
      <c r="CR298" s="134"/>
      <c r="CS298" s="134"/>
      <c r="CT298" s="134"/>
      <c r="CU298" s="134"/>
      <c r="CV298" s="134"/>
      <c r="CW298" s="134"/>
      <c r="CX298" s="134"/>
      <c r="CY298" s="134"/>
      <c r="CZ298" s="134"/>
      <c r="DA298" s="134"/>
      <c r="DB298" s="134"/>
      <c r="DC298" s="134"/>
      <c r="DD298" s="134"/>
      <c r="DE298" s="134"/>
      <c r="DF298" s="134"/>
      <c r="DG298" s="134"/>
      <c r="DH298" s="134"/>
      <c r="DI298" s="134"/>
      <c r="DJ298" s="134"/>
      <c r="DK298" s="134"/>
      <c r="DL298" s="134"/>
      <c r="DM298" s="134"/>
      <c r="DN298" s="134"/>
      <c r="DO298" s="134"/>
      <c r="DP298" s="134"/>
      <c r="DQ298" s="134"/>
      <c r="DR298" s="134"/>
      <c r="DS298" s="134"/>
      <c r="DT298" s="134"/>
      <c r="DU298" s="134"/>
      <c r="DV298" s="134"/>
      <c r="DW298" s="134"/>
      <c r="DX298" s="134"/>
      <c r="DY298" s="134"/>
      <c r="DZ298" s="134"/>
      <c r="EA298" s="134"/>
      <c r="EB298" s="134"/>
      <c r="EC298" s="134"/>
      <c r="ED298" s="134"/>
      <c r="EE298" s="134"/>
      <c r="EF298" s="134"/>
      <c r="EG298" s="134"/>
      <c r="EH298" s="134"/>
      <c r="EI298" s="134"/>
      <c r="EJ298" s="134"/>
      <c r="EK298" s="134"/>
      <c r="EL298" s="134"/>
      <c r="EM298" s="134"/>
      <c r="EN298" s="134"/>
      <c r="EO298" s="134"/>
      <c r="EP298" s="134"/>
      <c r="EQ298" s="134"/>
      <c r="ER298" s="134"/>
      <c r="ES298" s="134"/>
      <c r="ET298" s="134"/>
      <c r="EU298" s="134"/>
      <c r="EV298" s="134"/>
      <c r="EW298" s="134"/>
      <c r="EX298" s="134"/>
      <c r="EY298" s="134"/>
      <c r="EZ298" s="134"/>
      <c r="FA298" s="134"/>
      <c r="FB298" s="134"/>
      <c r="FC298" s="134"/>
      <c r="FD298" s="134"/>
      <c r="FE298" s="134"/>
      <c r="FF298" s="134"/>
      <c r="FG298" s="134"/>
      <c r="FH298" s="134"/>
      <c r="FI298" s="134"/>
      <c r="FJ298" s="134"/>
      <c r="FK298" s="134"/>
      <c r="FL298" s="134"/>
      <c r="FM298" s="134"/>
      <c r="FN298" s="134"/>
      <c r="FO298" s="134"/>
      <c r="FP298" s="134"/>
      <c r="FQ298" s="134"/>
      <c r="FR298" s="134"/>
      <c r="FS298" s="134"/>
      <c r="FT298" s="134"/>
      <c r="FU298" s="134"/>
      <c r="FV298" s="134"/>
      <c r="FW298" s="134"/>
      <c r="FX298" s="134"/>
      <c r="FY298" s="134"/>
      <c r="FZ298" s="134"/>
      <c r="GA298" s="134"/>
      <c r="GB298" s="134"/>
      <c r="GC298" s="134"/>
      <c r="GD298" s="134"/>
      <c r="GE298" s="134"/>
      <c r="GF298" s="134"/>
      <c r="GG298" s="134"/>
      <c r="GH298" s="134"/>
      <c r="GI298" s="134"/>
      <c r="GJ298" s="134"/>
      <c r="GK298" s="134"/>
      <c r="GL298" s="134"/>
      <c r="GM298" s="134"/>
      <c r="GN298" s="134"/>
      <c r="GO298" s="134"/>
      <c r="GP298" s="134"/>
      <c r="GQ298" s="134"/>
      <c r="GR298" s="134"/>
      <c r="GS298" s="134"/>
      <c r="GT298" s="134"/>
      <c r="GU298" s="134"/>
      <c r="GV298" s="134"/>
      <c r="GW298" s="134"/>
      <c r="GX298" s="134"/>
      <c r="GY298" s="134"/>
      <c r="GZ298" s="134"/>
      <c r="HA298" s="134"/>
      <c r="HB298" s="134"/>
      <c r="HC298" s="134"/>
      <c r="HD298" s="134"/>
      <c r="HE298" s="134"/>
      <c r="HF298" s="134"/>
      <c r="HG298" s="134"/>
      <c r="HH298" s="134"/>
      <c r="HI298" s="134"/>
      <c r="HJ298" s="134"/>
      <c r="HK298" s="134"/>
      <c r="HL298" s="134"/>
      <c r="HM298" s="134"/>
      <c r="HN298" s="134"/>
      <c r="HO298" s="134"/>
      <c r="HP298" s="134"/>
      <c r="HQ298" s="134"/>
      <c r="HR298" s="134"/>
      <c r="HS298" s="134"/>
      <c r="HT298" s="134"/>
      <c r="HU298" s="134"/>
      <c r="HV298" s="134"/>
      <c r="HW298" s="134"/>
      <c r="HX298" s="134"/>
      <c r="HY298" s="134"/>
      <c r="HZ298" s="134"/>
      <c r="IA298" s="134"/>
      <c r="IB298" s="134"/>
      <c r="IC298" s="134"/>
      <c r="ID298" s="134"/>
      <c r="IE298" s="134"/>
      <c r="IF298" s="134"/>
      <c r="IG298" s="134"/>
      <c r="IH298" s="134"/>
      <c r="II298" s="134"/>
      <c r="IJ298" s="134"/>
      <c r="IK298" s="134"/>
      <c r="IL298" s="134"/>
      <c r="IM298" s="134"/>
      <c r="IN298" s="134"/>
      <c r="IO298" s="134"/>
      <c r="IP298" s="134"/>
      <c r="IQ298" s="134"/>
      <c r="IR298" s="134"/>
      <c r="IS298" s="134"/>
      <c r="IT298" s="134"/>
      <c r="IU298" s="134"/>
    </row>
    <row r="299" spans="1:255" ht="47" customHeight="1" x14ac:dyDescent="0.2">
      <c r="A299" s="236" t="str">
        <f>'HECVAT - Full'!A299</f>
        <v>HIPA-31</v>
      </c>
      <c r="B299" s="236" t="str">
        <f>VLOOKUP(A299,'HECVAT - Full'!A$24:B$312,2,FALSE)</f>
        <v>Have you entered into a BAA with all subcontractors who may have access to protected health information (PHI)?</v>
      </c>
      <c r="C299" s="237" t="s">
        <v>693</v>
      </c>
      <c r="D299" s="247" t="s">
        <v>2971</v>
      </c>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34"/>
      <c r="BQ299" s="134"/>
      <c r="BR299" s="134"/>
      <c r="BS299" s="134"/>
      <c r="BT299" s="134"/>
      <c r="BU299" s="134"/>
      <c r="BV299" s="134"/>
      <c r="BW299" s="134"/>
      <c r="BX299" s="134"/>
      <c r="BY299" s="134"/>
      <c r="BZ299" s="134"/>
      <c r="CA299" s="134"/>
      <c r="CB299" s="134"/>
      <c r="CC299" s="134"/>
      <c r="CD299" s="134"/>
      <c r="CE299" s="134"/>
      <c r="CF299" s="134"/>
      <c r="CG299" s="134"/>
      <c r="CH299" s="134"/>
      <c r="CI299" s="134"/>
      <c r="CJ299" s="134"/>
      <c r="CK299" s="134"/>
      <c r="CL299" s="134"/>
      <c r="CM299" s="134"/>
      <c r="CN299" s="134"/>
      <c r="CO299" s="134"/>
      <c r="CP299" s="134"/>
      <c r="CQ299" s="134"/>
      <c r="CR299" s="134"/>
      <c r="CS299" s="134"/>
      <c r="CT299" s="134"/>
      <c r="CU299" s="134"/>
      <c r="CV299" s="134"/>
      <c r="CW299" s="134"/>
      <c r="CX299" s="134"/>
      <c r="CY299" s="134"/>
      <c r="CZ299" s="134"/>
      <c r="DA299" s="134"/>
      <c r="DB299" s="134"/>
      <c r="DC299" s="134"/>
      <c r="DD299" s="134"/>
      <c r="DE299" s="134"/>
      <c r="DF299" s="134"/>
      <c r="DG299" s="134"/>
      <c r="DH299" s="134"/>
      <c r="DI299" s="134"/>
      <c r="DJ299" s="134"/>
      <c r="DK299" s="134"/>
      <c r="DL299" s="134"/>
      <c r="DM299" s="134"/>
      <c r="DN299" s="134"/>
      <c r="DO299" s="134"/>
      <c r="DP299" s="134"/>
      <c r="DQ299" s="134"/>
      <c r="DR299" s="134"/>
      <c r="DS299" s="134"/>
      <c r="DT299" s="134"/>
      <c r="DU299" s="134"/>
      <c r="DV299" s="134"/>
      <c r="DW299" s="134"/>
      <c r="DX299" s="134"/>
      <c r="DY299" s="134"/>
      <c r="DZ299" s="134"/>
      <c r="EA299" s="134"/>
      <c r="EB299" s="134"/>
      <c r="EC299" s="134"/>
      <c r="ED299" s="134"/>
      <c r="EE299" s="134"/>
      <c r="EF299" s="134"/>
      <c r="EG299" s="134"/>
      <c r="EH299" s="134"/>
      <c r="EI299" s="134"/>
      <c r="EJ299" s="134"/>
      <c r="EK299" s="134"/>
      <c r="EL299" s="134"/>
      <c r="EM299" s="134"/>
      <c r="EN299" s="134"/>
      <c r="EO299" s="134"/>
      <c r="EP299" s="134"/>
      <c r="EQ299" s="134"/>
      <c r="ER299" s="134"/>
      <c r="ES299" s="134"/>
      <c r="ET299" s="134"/>
      <c r="EU299" s="134"/>
      <c r="EV299" s="134"/>
      <c r="EW299" s="134"/>
      <c r="EX299" s="134"/>
      <c r="EY299" s="134"/>
      <c r="EZ299" s="134"/>
      <c r="FA299" s="134"/>
      <c r="FB299" s="134"/>
      <c r="FC299" s="134"/>
      <c r="FD299" s="134"/>
      <c r="FE299" s="134"/>
      <c r="FF299" s="134"/>
      <c r="FG299" s="134"/>
      <c r="FH299" s="134"/>
      <c r="FI299" s="134"/>
      <c r="FJ299" s="134"/>
      <c r="FK299" s="134"/>
      <c r="FL299" s="134"/>
      <c r="FM299" s="134"/>
      <c r="FN299" s="134"/>
      <c r="FO299" s="134"/>
      <c r="FP299" s="134"/>
      <c r="FQ299" s="134"/>
      <c r="FR299" s="134"/>
      <c r="FS299" s="134"/>
      <c r="FT299" s="134"/>
      <c r="FU299" s="134"/>
      <c r="FV299" s="134"/>
      <c r="FW299" s="134"/>
      <c r="FX299" s="134"/>
      <c r="FY299" s="134"/>
      <c r="FZ299" s="134"/>
      <c r="GA299" s="134"/>
      <c r="GB299" s="134"/>
      <c r="GC299" s="134"/>
      <c r="GD299" s="134"/>
      <c r="GE299" s="134"/>
      <c r="GF299" s="134"/>
      <c r="GG299" s="134"/>
      <c r="GH299" s="134"/>
      <c r="GI299" s="134"/>
      <c r="GJ299" s="134"/>
      <c r="GK299" s="134"/>
      <c r="GL299" s="134"/>
      <c r="GM299" s="134"/>
      <c r="GN299" s="134"/>
      <c r="GO299" s="134"/>
      <c r="GP299" s="134"/>
      <c r="GQ299" s="134"/>
      <c r="GR299" s="134"/>
      <c r="GS299" s="134"/>
      <c r="GT299" s="134"/>
      <c r="GU299" s="134"/>
      <c r="GV299" s="134"/>
      <c r="GW299" s="134"/>
      <c r="GX299" s="134"/>
      <c r="GY299" s="134"/>
      <c r="GZ299" s="134"/>
      <c r="HA299" s="134"/>
      <c r="HB299" s="134"/>
      <c r="HC299" s="134"/>
      <c r="HD299" s="134"/>
      <c r="HE299" s="134"/>
      <c r="HF299" s="134"/>
      <c r="HG299" s="134"/>
      <c r="HH299" s="134"/>
      <c r="HI299" s="134"/>
      <c r="HJ299" s="134"/>
      <c r="HK299" s="134"/>
      <c r="HL299" s="134"/>
      <c r="HM299" s="134"/>
      <c r="HN299" s="134"/>
      <c r="HO299" s="134"/>
      <c r="HP299" s="134"/>
      <c r="HQ299" s="134"/>
      <c r="HR299" s="134"/>
      <c r="HS299" s="134"/>
      <c r="HT299" s="134"/>
      <c r="HU299" s="134"/>
      <c r="HV299" s="134"/>
      <c r="HW299" s="134"/>
      <c r="HX299" s="134"/>
      <c r="HY299" s="134"/>
      <c r="HZ299" s="134"/>
      <c r="IA299" s="134"/>
      <c r="IB299" s="134"/>
      <c r="IC299" s="134"/>
      <c r="ID299" s="134"/>
      <c r="IE299" s="134"/>
      <c r="IF299" s="134"/>
      <c r="IG299" s="134"/>
      <c r="IH299" s="134"/>
      <c r="II299" s="134"/>
      <c r="IJ299" s="134"/>
      <c r="IK299" s="134"/>
      <c r="IL299" s="134"/>
      <c r="IM299" s="134"/>
      <c r="IN299" s="134"/>
      <c r="IO299" s="134"/>
      <c r="IP299" s="134"/>
      <c r="IQ299" s="134"/>
      <c r="IR299" s="134"/>
      <c r="IS299" s="134"/>
      <c r="IT299" s="134"/>
      <c r="IU299" s="134"/>
    </row>
    <row r="300" spans="1:255" ht="36" customHeight="1" x14ac:dyDescent="0.2">
      <c r="A300" s="341" t="str">
        <f>IF(OR($C$29="No",$C$30="Yes"),"PCI DSS - Optional based on QUALIFIER response.","PCI DSS")</f>
        <v>PCI DSS</v>
      </c>
      <c r="B300" s="341"/>
      <c r="C300" s="234" t="str">
        <f>$C$22</f>
        <v>Reason for Question</v>
      </c>
      <c r="D300" s="234" t="str">
        <f>$D$22</f>
        <v>Follow-up Inquiries/Responses</v>
      </c>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34"/>
      <c r="BR300" s="134"/>
      <c r="BS300" s="134"/>
      <c r="BT300" s="134"/>
      <c r="BU300" s="134"/>
      <c r="BV300" s="134"/>
      <c r="BW300" s="134"/>
      <c r="BX300" s="134"/>
      <c r="BY300" s="134"/>
      <c r="BZ300" s="134"/>
      <c r="CA300" s="134"/>
      <c r="CB300" s="134"/>
      <c r="CC300" s="134"/>
      <c r="CD300" s="134"/>
      <c r="CE300" s="134"/>
      <c r="CF300" s="134"/>
      <c r="CG300" s="134"/>
      <c r="CH300" s="134"/>
      <c r="CI300" s="134"/>
      <c r="CJ300" s="134"/>
      <c r="CK300" s="134"/>
      <c r="CL300" s="134"/>
      <c r="CM300" s="134"/>
      <c r="CN300" s="134"/>
      <c r="CO300" s="134"/>
      <c r="CP300" s="134"/>
      <c r="CQ300" s="134"/>
      <c r="CR300" s="134"/>
      <c r="CS300" s="134"/>
      <c r="CT300" s="134"/>
      <c r="CU300" s="134"/>
      <c r="CV300" s="134"/>
      <c r="CW300" s="134"/>
      <c r="CX300" s="134"/>
      <c r="CY300" s="134"/>
      <c r="CZ300" s="134"/>
      <c r="DA300" s="134"/>
      <c r="DB300" s="134"/>
      <c r="DC300" s="134"/>
      <c r="DD300" s="134"/>
      <c r="DE300" s="134"/>
      <c r="DF300" s="134"/>
      <c r="DG300" s="134"/>
      <c r="DH300" s="134"/>
      <c r="DI300" s="134"/>
      <c r="DJ300" s="134"/>
      <c r="DK300" s="134"/>
      <c r="DL300" s="134"/>
      <c r="DM300" s="134"/>
      <c r="DN300" s="134"/>
      <c r="DO300" s="134"/>
      <c r="DP300" s="134"/>
      <c r="DQ300" s="134"/>
      <c r="DR300" s="134"/>
      <c r="DS300" s="134"/>
      <c r="DT300" s="134"/>
      <c r="DU300" s="134"/>
      <c r="DV300" s="134"/>
      <c r="DW300" s="134"/>
      <c r="DX300" s="134"/>
      <c r="DY300" s="134"/>
      <c r="DZ300" s="134"/>
      <c r="EA300" s="134"/>
      <c r="EB300" s="134"/>
      <c r="EC300" s="134"/>
      <c r="ED300" s="134"/>
      <c r="EE300" s="134"/>
      <c r="EF300" s="134"/>
      <c r="EG300" s="134"/>
      <c r="EH300" s="134"/>
      <c r="EI300" s="134"/>
      <c r="EJ300" s="134"/>
      <c r="EK300" s="134"/>
      <c r="EL300" s="134"/>
      <c r="EM300" s="134"/>
      <c r="EN300" s="134"/>
      <c r="EO300" s="134"/>
      <c r="EP300" s="134"/>
      <c r="EQ300" s="134"/>
      <c r="ER300" s="134"/>
      <c r="ES300" s="134"/>
      <c r="ET300" s="134"/>
      <c r="EU300" s="134"/>
      <c r="EV300" s="134"/>
      <c r="EW300" s="134"/>
      <c r="EX300" s="134"/>
      <c r="EY300" s="134"/>
      <c r="EZ300" s="134"/>
      <c r="FA300" s="134"/>
      <c r="FB300" s="134"/>
      <c r="FC300" s="134"/>
      <c r="FD300" s="134"/>
      <c r="FE300" s="134"/>
      <c r="FF300" s="134"/>
      <c r="FG300" s="134"/>
      <c r="FH300" s="134"/>
      <c r="FI300" s="134"/>
      <c r="FJ300" s="134"/>
      <c r="FK300" s="134"/>
      <c r="FL300" s="134"/>
      <c r="FM300" s="134"/>
      <c r="FN300" s="134"/>
      <c r="FO300" s="134"/>
      <c r="FP300" s="134"/>
      <c r="FQ300" s="134"/>
      <c r="FR300" s="134"/>
      <c r="FS300" s="134"/>
      <c r="FT300" s="134"/>
      <c r="FU300" s="134"/>
      <c r="FV300" s="134"/>
      <c r="FW300" s="134"/>
      <c r="FX300" s="134"/>
      <c r="FY300" s="134"/>
      <c r="FZ300" s="134"/>
      <c r="GA300" s="134"/>
      <c r="GB300" s="134"/>
      <c r="GC300" s="134"/>
      <c r="GD300" s="134"/>
      <c r="GE300" s="134"/>
      <c r="GF300" s="134"/>
      <c r="GG300" s="134"/>
      <c r="GH300" s="134"/>
      <c r="GI300" s="134"/>
      <c r="GJ300" s="134"/>
      <c r="GK300" s="134"/>
      <c r="GL300" s="134"/>
      <c r="GM300" s="134"/>
      <c r="GN300" s="134"/>
      <c r="GO300" s="134"/>
      <c r="GP300" s="134"/>
      <c r="GQ300" s="134"/>
      <c r="GR300" s="134"/>
      <c r="GS300" s="134"/>
      <c r="GT300" s="134"/>
      <c r="GU300" s="134"/>
      <c r="GV300" s="134"/>
      <c r="GW300" s="134"/>
      <c r="GX300" s="134"/>
      <c r="GY300" s="134"/>
      <c r="GZ300" s="134"/>
      <c r="HA300" s="134"/>
      <c r="HB300" s="134"/>
      <c r="HC300" s="134"/>
      <c r="HD300" s="134"/>
      <c r="HE300" s="134"/>
      <c r="HF300" s="134"/>
      <c r="HG300" s="134"/>
      <c r="HH300" s="134"/>
      <c r="HI300" s="134"/>
      <c r="HJ300" s="134"/>
      <c r="HK300" s="134"/>
      <c r="HL300" s="134"/>
      <c r="HM300" s="134"/>
      <c r="HN300" s="134"/>
      <c r="HO300" s="134"/>
      <c r="HP300" s="134"/>
      <c r="HQ300" s="134"/>
      <c r="HR300" s="134"/>
      <c r="HS300" s="134"/>
      <c r="HT300" s="134"/>
      <c r="HU300" s="134"/>
      <c r="HV300" s="134"/>
      <c r="HW300" s="134"/>
      <c r="HX300" s="134"/>
      <c r="HY300" s="134"/>
      <c r="HZ300" s="134"/>
      <c r="IA300" s="134"/>
      <c r="IB300" s="134"/>
      <c r="IC300" s="134"/>
      <c r="ID300" s="134"/>
      <c r="IE300" s="134"/>
      <c r="IF300" s="134"/>
      <c r="IG300" s="134"/>
      <c r="IH300" s="134"/>
      <c r="II300" s="134"/>
      <c r="IJ300" s="134"/>
      <c r="IK300" s="134"/>
      <c r="IL300" s="134"/>
      <c r="IM300" s="134"/>
      <c r="IN300" s="134"/>
      <c r="IO300" s="134"/>
      <c r="IP300" s="134"/>
      <c r="IQ300" s="134"/>
      <c r="IR300" s="134"/>
      <c r="IS300" s="134"/>
      <c r="IT300" s="134"/>
      <c r="IU300" s="134"/>
    </row>
    <row r="301" spans="1:255" ht="48" customHeight="1" x14ac:dyDescent="0.2">
      <c r="A301" s="236" t="str">
        <f>'HECVAT - Full'!A301</f>
        <v>PCID-01</v>
      </c>
      <c r="B301" s="236" t="str">
        <f>VLOOKUP(A301,'HECVAT - Full'!A$24:B$312,2,FALSE)</f>
        <v>Do your systems or products store, process, or transmit cardholder (payment/credit/debt card) data?</v>
      </c>
      <c r="C301" s="237">
        <v>12.8</v>
      </c>
      <c r="D301" s="247" t="s">
        <v>2974</v>
      </c>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4"/>
      <c r="CZ301" s="134"/>
      <c r="DA301" s="134"/>
      <c r="DB301" s="134"/>
      <c r="DC301" s="134"/>
      <c r="DD301" s="134"/>
      <c r="DE301" s="134"/>
      <c r="DF301" s="134"/>
      <c r="DG301" s="134"/>
      <c r="DH301" s="134"/>
      <c r="DI301" s="134"/>
      <c r="DJ301" s="134"/>
      <c r="DK301" s="134"/>
      <c r="DL301" s="134"/>
      <c r="DM301" s="134"/>
      <c r="DN301" s="134"/>
      <c r="DO301" s="134"/>
      <c r="DP301" s="134"/>
      <c r="DQ301" s="134"/>
      <c r="DR301" s="134"/>
      <c r="DS301" s="134"/>
      <c r="DT301" s="134"/>
      <c r="DU301" s="134"/>
      <c r="DV301" s="134"/>
      <c r="DW301" s="134"/>
      <c r="DX301" s="134"/>
      <c r="DY301" s="134"/>
      <c r="DZ301" s="134"/>
      <c r="EA301" s="134"/>
      <c r="EB301" s="134"/>
      <c r="EC301" s="134"/>
      <c r="ED301" s="134"/>
      <c r="EE301" s="134"/>
      <c r="EF301" s="134"/>
      <c r="EG301" s="134"/>
      <c r="EH301" s="134"/>
      <c r="EI301" s="134"/>
      <c r="EJ301" s="134"/>
      <c r="EK301" s="134"/>
      <c r="EL301" s="134"/>
      <c r="EM301" s="134"/>
      <c r="EN301" s="134"/>
      <c r="EO301" s="134"/>
      <c r="EP301" s="134"/>
      <c r="EQ301" s="134"/>
      <c r="ER301" s="134"/>
      <c r="ES301" s="134"/>
      <c r="ET301" s="134"/>
      <c r="EU301" s="134"/>
      <c r="EV301" s="134"/>
      <c r="EW301" s="134"/>
      <c r="EX301" s="134"/>
      <c r="EY301" s="134"/>
      <c r="EZ301" s="134"/>
      <c r="FA301" s="134"/>
      <c r="FB301" s="134"/>
      <c r="FC301" s="134"/>
      <c r="FD301" s="134"/>
      <c r="FE301" s="134"/>
      <c r="FF301" s="134"/>
      <c r="FG301" s="134"/>
      <c r="FH301" s="134"/>
      <c r="FI301" s="134"/>
      <c r="FJ301" s="134"/>
      <c r="FK301" s="134"/>
      <c r="FL301" s="134"/>
      <c r="FM301" s="134"/>
      <c r="FN301" s="134"/>
      <c r="FO301" s="134"/>
      <c r="FP301" s="134"/>
      <c r="FQ301" s="134"/>
      <c r="FR301" s="134"/>
      <c r="FS301" s="134"/>
      <c r="FT301" s="134"/>
      <c r="FU301" s="134"/>
      <c r="FV301" s="134"/>
      <c r="FW301" s="134"/>
      <c r="FX301" s="134"/>
      <c r="FY301" s="134"/>
      <c r="FZ301" s="134"/>
      <c r="GA301" s="134"/>
      <c r="GB301" s="134"/>
      <c r="GC301" s="134"/>
      <c r="GD301" s="134"/>
      <c r="GE301" s="134"/>
      <c r="GF301" s="134"/>
      <c r="GG301" s="134"/>
      <c r="GH301" s="134"/>
      <c r="GI301" s="134"/>
      <c r="GJ301" s="134"/>
      <c r="GK301" s="134"/>
      <c r="GL301" s="134"/>
      <c r="GM301" s="134"/>
      <c r="GN301" s="134"/>
      <c r="GO301" s="134"/>
      <c r="GP301" s="134"/>
      <c r="GQ301" s="134"/>
      <c r="GR301" s="134"/>
      <c r="GS301" s="134"/>
      <c r="GT301" s="134"/>
      <c r="GU301" s="134"/>
      <c r="GV301" s="134"/>
      <c r="GW301" s="134"/>
      <c r="GX301" s="134"/>
      <c r="GY301" s="134"/>
      <c r="GZ301" s="134"/>
      <c r="HA301" s="134"/>
      <c r="HB301" s="134"/>
      <c r="HC301" s="134"/>
      <c r="HD301" s="134"/>
      <c r="HE301" s="134"/>
      <c r="HF301" s="134"/>
      <c r="HG301" s="134"/>
      <c r="HH301" s="134"/>
      <c r="HI301" s="134"/>
      <c r="HJ301" s="134"/>
      <c r="HK301" s="134"/>
      <c r="HL301" s="134"/>
      <c r="HM301" s="134"/>
      <c r="HN301" s="134"/>
      <c r="HO301" s="134"/>
      <c r="HP301" s="134"/>
      <c r="HQ301" s="134"/>
      <c r="HR301" s="134"/>
      <c r="HS301" s="134"/>
      <c r="HT301" s="134"/>
      <c r="HU301" s="134"/>
      <c r="HV301" s="134"/>
      <c r="HW301" s="134"/>
      <c r="HX301" s="134"/>
      <c r="HY301" s="134"/>
      <c r="HZ301" s="134"/>
      <c r="IA301" s="134"/>
      <c r="IB301" s="134"/>
      <c r="IC301" s="134"/>
      <c r="ID301" s="134"/>
      <c r="IE301" s="134"/>
      <c r="IF301" s="134"/>
      <c r="IG301" s="134"/>
      <c r="IH301" s="134"/>
      <c r="II301" s="134"/>
      <c r="IJ301" s="134"/>
      <c r="IK301" s="134"/>
      <c r="IL301" s="134"/>
      <c r="IM301" s="134"/>
      <c r="IN301" s="134"/>
      <c r="IO301" s="134"/>
      <c r="IP301" s="134"/>
      <c r="IQ301" s="134"/>
      <c r="IR301" s="134"/>
      <c r="IS301" s="134"/>
      <c r="IT301" s="134"/>
      <c r="IU301" s="134"/>
    </row>
    <row r="302" spans="1:255" ht="48" customHeight="1" x14ac:dyDescent="0.2">
      <c r="A302" s="236" t="str">
        <f>'HECVAT - Full'!A302</f>
        <v>PCID-02</v>
      </c>
      <c r="B302" s="236" t="str">
        <f>VLOOKUP(A302,'HECVAT - Full'!A$24:B$312,2,FALSE)</f>
        <v>Are you compliant with the Payment Card Industry Data Security Standard (PCI DSS)?</v>
      </c>
      <c r="C302" s="237">
        <v>12.8</v>
      </c>
      <c r="D302" s="247" t="s">
        <v>2974</v>
      </c>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34"/>
      <c r="BQ302" s="134"/>
      <c r="BR302" s="134"/>
      <c r="BS302" s="134"/>
      <c r="BT302" s="134"/>
      <c r="BU302" s="134"/>
      <c r="BV302" s="134"/>
      <c r="BW302" s="134"/>
      <c r="BX302" s="134"/>
      <c r="BY302" s="134"/>
      <c r="BZ302" s="134"/>
      <c r="CA302" s="134"/>
      <c r="CB302" s="134"/>
      <c r="CC302" s="134"/>
      <c r="CD302" s="134"/>
      <c r="CE302" s="134"/>
      <c r="CF302" s="134"/>
      <c r="CG302" s="134"/>
      <c r="CH302" s="134"/>
      <c r="CI302" s="134"/>
      <c r="CJ302" s="134"/>
      <c r="CK302" s="134"/>
      <c r="CL302" s="134"/>
      <c r="CM302" s="134"/>
      <c r="CN302" s="134"/>
      <c r="CO302" s="134"/>
      <c r="CP302" s="134"/>
      <c r="CQ302" s="134"/>
      <c r="CR302" s="134"/>
      <c r="CS302" s="134"/>
      <c r="CT302" s="134"/>
      <c r="CU302" s="134"/>
      <c r="CV302" s="134"/>
      <c r="CW302" s="134"/>
      <c r="CX302" s="134"/>
      <c r="CY302" s="134"/>
      <c r="CZ302" s="134"/>
      <c r="DA302" s="134"/>
      <c r="DB302" s="134"/>
      <c r="DC302" s="134"/>
      <c r="DD302" s="134"/>
      <c r="DE302" s="134"/>
      <c r="DF302" s="134"/>
      <c r="DG302" s="134"/>
      <c r="DH302" s="134"/>
      <c r="DI302" s="134"/>
      <c r="DJ302" s="134"/>
      <c r="DK302" s="134"/>
      <c r="DL302" s="134"/>
      <c r="DM302" s="134"/>
      <c r="DN302" s="134"/>
      <c r="DO302" s="134"/>
      <c r="DP302" s="134"/>
      <c r="DQ302" s="134"/>
      <c r="DR302" s="134"/>
      <c r="DS302" s="134"/>
      <c r="DT302" s="134"/>
      <c r="DU302" s="134"/>
      <c r="DV302" s="134"/>
      <c r="DW302" s="134"/>
      <c r="DX302" s="134"/>
      <c r="DY302" s="134"/>
      <c r="DZ302" s="134"/>
      <c r="EA302" s="134"/>
      <c r="EB302" s="134"/>
      <c r="EC302" s="134"/>
      <c r="ED302" s="134"/>
      <c r="EE302" s="134"/>
      <c r="EF302" s="134"/>
      <c r="EG302" s="134"/>
      <c r="EH302" s="134"/>
      <c r="EI302" s="134"/>
      <c r="EJ302" s="134"/>
      <c r="EK302" s="134"/>
      <c r="EL302" s="134"/>
      <c r="EM302" s="134"/>
      <c r="EN302" s="134"/>
      <c r="EO302" s="134"/>
      <c r="EP302" s="134"/>
      <c r="EQ302" s="134"/>
      <c r="ER302" s="134"/>
      <c r="ES302" s="134"/>
      <c r="ET302" s="134"/>
      <c r="EU302" s="134"/>
      <c r="EV302" s="134"/>
      <c r="EW302" s="134"/>
      <c r="EX302" s="134"/>
      <c r="EY302" s="134"/>
      <c r="EZ302" s="134"/>
      <c r="FA302" s="134"/>
      <c r="FB302" s="134"/>
      <c r="FC302" s="134"/>
      <c r="FD302" s="134"/>
      <c r="FE302" s="134"/>
      <c r="FF302" s="134"/>
      <c r="FG302" s="134"/>
      <c r="FH302" s="134"/>
      <c r="FI302" s="134"/>
      <c r="FJ302" s="134"/>
      <c r="FK302" s="134"/>
      <c r="FL302" s="134"/>
      <c r="FM302" s="134"/>
      <c r="FN302" s="134"/>
      <c r="FO302" s="134"/>
      <c r="FP302" s="134"/>
      <c r="FQ302" s="134"/>
      <c r="FR302" s="134"/>
      <c r="FS302" s="134"/>
      <c r="FT302" s="134"/>
      <c r="FU302" s="134"/>
      <c r="FV302" s="134"/>
      <c r="FW302" s="134"/>
      <c r="FX302" s="134"/>
      <c r="FY302" s="134"/>
      <c r="FZ302" s="134"/>
      <c r="GA302" s="134"/>
      <c r="GB302" s="134"/>
      <c r="GC302" s="134"/>
      <c r="GD302" s="134"/>
      <c r="GE302" s="134"/>
      <c r="GF302" s="134"/>
      <c r="GG302" s="134"/>
      <c r="GH302" s="134"/>
      <c r="GI302" s="134"/>
      <c r="GJ302" s="134"/>
      <c r="GK302" s="134"/>
      <c r="GL302" s="134"/>
      <c r="GM302" s="134"/>
      <c r="GN302" s="134"/>
      <c r="GO302" s="134"/>
      <c r="GP302" s="134"/>
      <c r="GQ302" s="134"/>
      <c r="GR302" s="134"/>
      <c r="GS302" s="134"/>
      <c r="GT302" s="134"/>
      <c r="GU302" s="134"/>
      <c r="GV302" s="134"/>
      <c r="GW302" s="134"/>
      <c r="GX302" s="134"/>
      <c r="GY302" s="134"/>
      <c r="GZ302" s="134"/>
      <c r="HA302" s="134"/>
      <c r="HB302" s="134"/>
      <c r="HC302" s="134"/>
      <c r="HD302" s="134"/>
      <c r="HE302" s="134"/>
      <c r="HF302" s="134"/>
      <c r="HG302" s="134"/>
      <c r="HH302" s="134"/>
      <c r="HI302" s="134"/>
      <c r="HJ302" s="134"/>
      <c r="HK302" s="134"/>
      <c r="HL302" s="134"/>
      <c r="HM302" s="134"/>
      <c r="HN302" s="134"/>
      <c r="HO302" s="134"/>
      <c r="HP302" s="134"/>
      <c r="HQ302" s="134"/>
      <c r="HR302" s="134"/>
      <c r="HS302" s="134"/>
      <c r="HT302" s="134"/>
      <c r="HU302" s="134"/>
      <c r="HV302" s="134"/>
      <c r="HW302" s="134"/>
      <c r="HX302" s="134"/>
      <c r="HY302" s="134"/>
      <c r="HZ302" s="134"/>
      <c r="IA302" s="134"/>
      <c r="IB302" s="134"/>
      <c r="IC302" s="134"/>
      <c r="ID302" s="134"/>
      <c r="IE302" s="134"/>
      <c r="IF302" s="134"/>
      <c r="IG302" s="134"/>
      <c r="IH302" s="134"/>
      <c r="II302" s="134"/>
      <c r="IJ302" s="134"/>
      <c r="IK302" s="134"/>
      <c r="IL302" s="134"/>
      <c r="IM302" s="134"/>
      <c r="IN302" s="134"/>
      <c r="IO302" s="134"/>
      <c r="IP302" s="134"/>
      <c r="IQ302" s="134"/>
      <c r="IR302" s="134"/>
      <c r="IS302" s="134"/>
      <c r="IT302" s="134"/>
      <c r="IU302" s="134"/>
    </row>
    <row r="303" spans="1:255" ht="48" customHeight="1" x14ac:dyDescent="0.2">
      <c r="A303" s="236" t="str">
        <f>'HECVAT - Full'!A303</f>
        <v>PCID-03</v>
      </c>
      <c r="B303" s="236" t="str">
        <f>VLOOKUP(A303,'HECVAT - Full'!A$24:B$312,2,FALSE)</f>
        <v>Do you have a current, executed within the past year, Attestation of Compliance (AoC) or Report on Compliance (RoC)?</v>
      </c>
      <c r="C303" s="237">
        <v>12.8</v>
      </c>
      <c r="D303" s="247" t="s">
        <v>2974</v>
      </c>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c r="HI303" s="134"/>
      <c r="HJ303" s="134"/>
      <c r="HK303" s="134"/>
      <c r="HL303" s="134"/>
      <c r="HM303" s="134"/>
      <c r="HN303" s="134"/>
      <c r="HO303" s="134"/>
      <c r="HP303" s="134"/>
      <c r="HQ303" s="134"/>
      <c r="HR303" s="134"/>
      <c r="HS303" s="134"/>
      <c r="HT303" s="134"/>
      <c r="HU303" s="134"/>
      <c r="HV303" s="134"/>
      <c r="HW303" s="134"/>
      <c r="HX303" s="134"/>
      <c r="HY303" s="134"/>
      <c r="HZ303" s="134"/>
      <c r="IA303" s="134"/>
      <c r="IB303" s="134"/>
      <c r="IC303" s="134"/>
      <c r="ID303" s="134"/>
      <c r="IE303" s="134"/>
      <c r="IF303" s="134"/>
      <c r="IG303" s="134"/>
      <c r="IH303" s="134"/>
      <c r="II303" s="134"/>
      <c r="IJ303" s="134"/>
      <c r="IK303" s="134"/>
      <c r="IL303" s="134"/>
      <c r="IM303" s="134"/>
      <c r="IN303" s="134"/>
      <c r="IO303" s="134"/>
      <c r="IP303" s="134"/>
      <c r="IQ303" s="134"/>
      <c r="IR303" s="134"/>
      <c r="IS303" s="134"/>
      <c r="IT303" s="134"/>
      <c r="IU303" s="134"/>
    </row>
    <row r="304" spans="1:255" ht="48" customHeight="1" x14ac:dyDescent="0.2">
      <c r="A304" s="236" t="str">
        <f>'HECVAT - Full'!A304</f>
        <v>PCID-04</v>
      </c>
      <c r="B304" s="236" t="str">
        <f>VLOOKUP(A304,'HECVAT - Full'!A$24:B$312,2,FALSE)</f>
        <v>Are you classified as a service provider?</v>
      </c>
      <c r="C304" s="237">
        <v>12.8</v>
      </c>
      <c r="D304" s="247" t="s">
        <v>2974</v>
      </c>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c r="CE304" s="134"/>
      <c r="CF304" s="134"/>
      <c r="CG304" s="134"/>
      <c r="CH304" s="134"/>
      <c r="CI304" s="134"/>
      <c r="CJ304" s="134"/>
      <c r="CK304" s="134"/>
      <c r="CL304" s="134"/>
      <c r="CM304" s="134"/>
      <c r="CN304" s="134"/>
      <c r="CO304" s="134"/>
      <c r="CP304" s="134"/>
      <c r="CQ304" s="134"/>
      <c r="CR304" s="134"/>
      <c r="CS304" s="134"/>
      <c r="CT304" s="134"/>
      <c r="CU304" s="134"/>
      <c r="CV304" s="134"/>
      <c r="CW304" s="134"/>
      <c r="CX304" s="134"/>
      <c r="CY304" s="134"/>
      <c r="CZ304" s="134"/>
      <c r="DA304" s="134"/>
      <c r="DB304" s="134"/>
      <c r="DC304" s="134"/>
      <c r="DD304" s="134"/>
      <c r="DE304" s="134"/>
      <c r="DF304" s="134"/>
      <c r="DG304" s="134"/>
      <c r="DH304" s="134"/>
      <c r="DI304" s="134"/>
      <c r="DJ304" s="134"/>
      <c r="DK304" s="134"/>
      <c r="DL304" s="134"/>
      <c r="DM304" s="134"/>
      <c r="DN304" s="134"/>
      <c r="DO304" s="134"/>
      <c r="DP304" s="134"/>
      <c r="DQ304" s="134"/>
      <c r="DR304" s="134"/>
      <c r="DS304" s="134"/>
      <c r="DT304" s="134"/>
      <c r="DU304" s="134"/>
      <c r="DV304" s="134"/>
      <c r="DW304" s="134"/>
      <c r="DX304" s="134"/>
      <c r="DY304" s="134"/>
      <c r="DZ304" s="134"/>
      <c r="EA304" s="134"/>
      <c r="EB304" s="134"/>
      <c r="EC304" s="134"/>
      <c r="ED304" s="134"/>
      <c r="EE304" s="134"/>
      <c r="EF304" s="134"/>
      <c r="EG304" s="134"/>
      <c r="EH304" s="134"/>
      <c r="EI304" s="134"/>
      <c r="EJ304" s="134"/>
      <c r="EK304" s="134"/>
      <c r="EL304" s="134"/>
      <c r="EM304" s="134"/>
      <c r="EN304" s="134"/>
      <c r="EO304" s="134"/>
      <c r="EP304" s="134"/>
      <c r="EQ304" s="134"/>
      <c r="ER304" s="134"/>
      <c r="ES304" s="134"/>
      <c r="ET304" s="134"/>
      <c r="EU304" s="134"/>
      <c r="EV304" s="134"/>
      <c r="EW304" s="134"/>
      <c r="EX304" s="134"/>
      <c r="EY304" s="134"/>
      <c r="EZ304" s="134"/>
      <c r="FA304" s="134"/>
      <c r="FB304" s="134"/>
      <c r="FC304" s="134"/>
      <c r="FD304" s="134"/>
      <c r="FE304" s="134"/>
      <c r="FF304" s="134"/>
      <c r="FG304" s="134"/>
      <c r="FH304" s="134"/>
      <c r="FI304" s="134"/>
      <c r="FJ304" s="134"/>
      <c r="FK304" s="134"/>
      <c r="FL304" s="134"/>
      <c r="FM304" s="134"/>
      <c r="FN304" s="134"/>
      <c r="FO304" s="134"/>
      <c r="FP304" s="134"/>
      <c r="FQ304" s="134"/>
      <c r="FR304" s="134"/>
      <c r="FS304" s="134"/>
      <c r="FT304" s="134"/>
      <c r="FU304" s="134"/>
      <c r="FV304" s="134"/>
      <c r="FW304" s="134"/>
      <c r="FX304" s="134"/>
      <c r="FY304" s="134"/>
      <c r="FZ304" s="134"/>
      <c r="GA304" s="134"/>
      <c r="GB304" s="134"/>
      <c r="GC304" s="134"/>
      <c r="GD304" s="134"/>
      <c r="GE304" s="134"/>
      <c r="GF304" s="134"/>
      <c r="GG304" s="134"/>
      <c r="GH304" s="134"/>
      <c r="GI304" s="134"/>
      <c r="GJ304" s="134"/>
      <c r="GK304" s="134"/>
      <c r="GL304" s="134"/>
      <c r="GM304" s="134"/>
      <c r="GN304" s="134"/>
      <c r="GO304" s="134"/>
      <c r="GP304" s="134"/>
      <c r="GQ304" s="134"/>
      <c r="GR304" s="134"/>
      <c r="GS304" s="134"/>
      <c r="GT304" s="134"/>
      <c r="GU304" s="134"/>
      <c r="GV304" s="134"/>
      <c r="GW304" s="134"/>
      <c r="GX304" s="134"/>
      <c r="GY304" s="134"/>
      <c r="GZ304" s="134"/>
      <c r="HA304" s="134"/>
      <c r="HB304" s="134"/>
      <c r="HC304" s="134"/>
      <c r="HD304" s="134"/>
      <c r="HE304" s="134"/>
      <c r="HF304" s="134"/>
      <c r="HG304" s="134"/>
      <c r="HH304" s="134"/>
      <c r="HI304" s="134"/>
      <c r="HJ304" s="134"/>
      <c r="HK304" s="134"/>
      <c r="HL304" s="134"/>
      <c r="HM304" s="134"/>
      <c r="HN304" s="134"/>
      <c r="HO304" s="134"/>
      <c r="HP304" s="134"/>
      <c r="HQ304" s="134"/>
      <c r="HR304" s="134"/>
      <c r="HS304" s="134"/>
      <c r="HT304" s="134"/>
      <c r="HU304" s="134"/>
      <c r="HV304" s="134"/>
      <c r="HW304" s="134"/>
      <c r="HX304" s="134"/>
      <c r="HY304" s="134"/>
      <c r="HZ304" s="134"/>
      <c r="IA304" s="134"/>
      <c r="IB304" s="134"/>
      <c r="IC304" s="134"/>
      <c r="ID304" s="134"/>
      <c r="IE304" s="134"/>
      <c r="IF304" s="134"/>
      <c r="IG304" s="134"/>
      <c r="IH304" s="134"/>
      <c r="II304" s="134"/>
      <c r="IJ304" s="134"/>
      <c r="IK304" s="134"/>
      <c r="IL304" s="134"/>
      <c r="IM304" s="134"/>
      <c r="IN304" s="134"/>
      <c r="IO304" s="134"/>
      <c r="IP304" s="134"/>
      <c r="IQ304" s="134"/>
      <c r="IR304" s="134"/>
      <c r="IS304" s="134"/>
      <c r="IT304" s="134"/>
      <c r="IU304" s="134"/>
    </row>
    <row r="305" spans="1:255" ht="48" customHeight="1" x14ac:dyDescent="0.2">
      <c r="A305" s="236" t="str">
        <f>'HECVAT - Full'!A305</f>
        <v>PCID-05</v>
      </c>
      <c r="B305" s="236" t="str">
        <f>VLOOKUP(A305,'HECVAT - Full'!A$24:B$312,2,FALSE)</f>
        <v xml:space="preserve">Are you on the list of VISA approved service providers? </v>
      </c>
      <c r="C305" s="237">
        <v>12.8</v>
      </c>
      <c r="D305" s="247" t="s">
        <v>2974</v>
      </c>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c r="CE305" s="134"/>
      <c r="CF305" s="134"/>
      <c r="CG305" s="134"/>
      <c r="CH305" s="134"/>
      <c r="CI305" s="134"/>
      <c r="CJ305" s="134"/>
      <c r="CK305" s="134"/>
      <c r="CL305" s="134"/>
      <c r="CM305" s="134"/>
      <c r="CN305" s="134"/>
      <c r="CO305" s="134"/>
      <c r="CP305" s="134"/>
      <c r="CQ305" s="134"/>
      <c r="CR305" s="134"/>
      <c r="CS305" s="134"/>
      <c r="CT305" s="134"/>
      <c r="CU305" s="134"/>
      <c r="CV305" s="134"/>
      <c r="CW305" s="134"/>
      <c r="CX305" s="134"/>
      <c r="CY305" s="134"/>
      <c r="CZ305" s="134"/>
      <c r="DA305" s="134"/>
      <c r="DB305" s="134"/>
      <c r="DC305" s="134"/>
      <c r="DD305" s="134"/>
      <c r="DE305" s="134"/>
      <c r="DF305" s="134"/>
      <c r="DG305" s="134"/>
      <c r="DH305" s="134"/>
      <c r="DI305" s="134"/>
      <c r="DJ305" s="134"/>
      <c r="DK305" s="134"/>
      <c r="DL305" s="134"/>
      <c r="DM305" s="134"/>
      <c r="DN305" s="134"/>
      <c r="DO305" s="134"/>
      <c r="DP305" s="134"/>
      <c r="DQ305" s="134"/>
      <c r="DR305" s="134"/>
      <c r="DS305" s="134"/>
      <c r="DT305" s="134"/>
      <c r="DU305" s="134"/>
      <c r="DV305" s="134"/>
      <c r="DW305" s="134"/>
      <c r="DX305" s="134"/>
      <c r="DY305" s="134"/>
      <c r="DZ305" s="134"/>
      <c r="EA305" s="134"/>
      <c r="EB305" s="134"/>
      <c r="EC305" s="134"/>
      <c r="ED305" s="134"/>
      <c r="EE305" s="134"/>
      <c r="EF305" s="134"/>
      <c r="EG305" s="134"/>
      <c r="EH305" s="134"/>
      <c r="EI305" s="134"/>
      <c r="EJ305" s="134"/>
      <c r="EK305" s="134"/>
      <c r="EL305" s="134"/>
      <c r="EM305" s="134"/>
      <c r="EN305" s="134"/>
      <c r="EO305" s="134"/>
      <c r="EP305" s="134"/>
      <c r="EQ305" s="134"/>
      <c r="ER305" s="134"/>
      <c r="ES305" s="134"/>
      <c r="ET305" s="134"/>
      <c r="EU305" s="134"/>
      <c r="EV305" s="134"/>
      <c r="EW305" s="134"/>
      <c r="EX305" s="134"/>
      <c r="EY305" s="134"/>
      <c r="EZ305" s="134"/>
      <c r="FA305" s="134"/>
      <c r="FB305" s="134"/>
      <c r="FC305" s="134"/>
      <c r="FD305" s="134"/>
      <c r="FE305" s="134"/>
      <c r="FF305" s="134"/>
      <c r="FG305" s="134"/>
      <c r="FH305" s="134"/>
      <c r="FI305" s="134"/>
      <c r="FJ305" s="134"/>
      <c r="FK305" s="134"/>
      <c r="FL305" s="134"/>
      <c r="FM305" s="134"/>
      <c r="FN305" s="134"/>
      <c r="FO305" s="134"/>
      <c r="FP305" s="134"/>
      <c r="FQ305" s="134"/>
      <c r="FR305" s="134"/>
      <c r="FS305" s="134"/>
      <c r="FT305" s="134"/>
      <c r="FU305" s="134"/>
      <c r="FV305" s="134"/>
      <c r="FW305" s="134"/>
      <c r="FX305" s="134"/>
      <c r="FY305" s="134"/>
      <c r="FZ305" s="134"/>
      <c r="GA305" s="134"/>
      <c r="GB305" s="134"/>
      <c r="GC305" s="134"/>
      <c r="GD305" s="134"/>
      <c r="GE305" s="134"/>
      <c r="GF305" s="134"/>
      <c r="GG305" s="134"/>
      <c r="GH305" s="134"/>
      <c r="GI305" s="134"/>
      <c r="GJ305" s="134"/>
      <c r="GK305" s="134"/>
      <c r="GL305" s="134"/>
      <c r="GM305" s="134"/>
      <c r="GN305" s="134"/>
      <c r="GO305" s="134"/>
      <c r="GP305" s="134"/>
      <c r="GQ305" s="134"/>
      <c r="GR305" s="134"/>
      <c r="GS305" s="134"/>
      <c r="GT305" s="134"/>
      <c r="GU305" s="134"/>
      <c r="GV305" s="134"/>
      <c r="GW305" s="134"/>
      <c r="GX305" s="134"/>
      <c r="GY305" s="134"/>
      <c r="GZ305" s="134"/>
      <c r="HA305" s="134"/>
      <c r="HB305" s="134"/>
      <c r="HC305" s="134"/>
      <c r="HD305" s="134"/>
      <c r="HE305" s="134"/>
      <c r="HF305" s="134"/>
      <c r="HG305" s="134"/>
      <c r="HH305" s="134"/>
      <c r="HI305" s="134"/>
      <c r="HJ305" s="134"/>
      <c r="HK305" s="134"/>
      <c r="HL305" s="134"/>
      <c r="HM305" s="134"/>
      <c r="HN305" s="134"/>
      <c r="HO305" s="134"/>
      <c r="HP305" s="134"/>
      <c r="HQ305" s="134"/>
      <c r="HR305" s="134"/>
      <c r="HS305" s="134"/>
      <c r="HT305" s="134"/>
      <c r="HU305" s="134"/>
      <c r="HV305" s="134"/>
      <c r="HW305" s="134"/>
      <c r="HX305" s="134"/>
      <c r="HY305" s="134"/>
      <c r="HZ305" s="134"/>
      <c r="IA305" s="134"/>
      <c r="IB305" s="134"/>
      <c r="IC305" s="134"/>
      <c r="ID305" s="134"/>
      <c r="IE305" s="134"/>
      <c r="IF305" s="134"/>
      <c r="IG305" s="134"/>
      <c r="IH305" s="134"/>
      <c r="II305" s="134"/>
      <c r="IJ305" s="134"/>
      <c r="IK305" s="134"/>
      <c r="IL305" s="134"/>
      <c r="IM305" s="134"/>
      <c r="IN305" s="134"/>
      <c r="IO305" s="134"/>
      <c r="IP305" s="134"/>
      <c r="IQ305" s="134"/>
      <c r="IR305" s="134"/>
      <c r="IS305" s="134"/>
      <c r="IT305" s="134"/>
      <c r="IU305" s="134"/>
    </row>
    <row r="306" spans="1:255" ht="48" customHeight="1" x14ac:dyDescent="0.2">
      <c r="A306" s="236" t="str">
        <f>'HECVAT - Full'!A306</f>
        <v>PCID-06</v>
      </c>
      <c r="B306" s="236" t="str">
        <f>VLOOKUP(A306,'HECVAT - Full'!A$24:B$312,2,FALSE)</f>
        <v>Are you classified as a merchant?  If so, what level (1, 2, 3, 4)?</v>
      </c>
      <c r="C306" s="237">
        <v>12.8</v>
      </c>
      <c r="D306" s="247" t="s">
        <v>2974</v>
      </c>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c r="CE306" s="134"/>
      <c r="CF306" s="134"/>
      <c r="CG306" s="134"/>
      <c r="CH306" s="134"/>
      <c r="CI306" s="134"/>
      <c r="CJ306" s="134"/>
      <c r="CK306" s="134"/>
      <c r="CL306" s="134"/>
      <c r="CM306" s="134"/>
      <c r="CN306" s="134"/>
      <c r="CO306" s="134"/>
      <c r="CP306" s="134"/>
      <c r="CQ306" s="134"/>
      <c r="CR306" s="134"/>
      <c r="CS306" s="134"/>
      <c r="CT306" s="134"/>
      <c r="CU306" s="134"/>
      <c r="CV306" s="134"/>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34"/>
      <c r="EH306" s="134"/>
      <c r="EI306" s="134"/>
      <c r="EJ306" s="134"/>
      <c r="EK306" s="134"/>
      <c r="EL306" s="134"/>
      <c r="EM306" s="134"/>
      <c r="EN306" s="134"/>
      <c r="EO306" s="134"/>
      <c r="EP306" s="134"/>
      <c r="EQ306" s="134"/>
      <c r="ER306" s="134"/>
      <c r="ES306" s="134"/>
      <c r="ET306" s="134"/>
      <c r="EU306" s="134"/>
      <c r="EV306" s="134"/>
      <c r="EW306" s="134"/>
      <c r="EX306" s="134"/>
      <c r="EY306" s="134"/>
      <c r="EZ306" s="134"/>
      <c r="FA306" s="134"/>
      <c r="FB306" s="134"/>
      <c r="FC306" s="134"/>
      <c r="FD306" s="134"/>
      <c r="FE306" s="134"/>
      <c r="FF306" s="134"/>
      <c r="FG306" s="134"/>
      <c r="FH306" s="134"/>
      <c r="FI306" s="134"/>
      <c r="FJ306" s="134"/>
      <c r="FK306" s="134"/>
      <c r="FL306" s="134"/>
      <c r="FM306" s="134"/>
      <c r="FN306" s="134"/>
      <c r="FO306" s="134"/>
      <c r="FP306" s="134"/>
      <c r="FQ306" s="134"/>
      <c r="FR306" s="134"/>
      <c r="FS306" s="134"/>
      <c r="FT306" s="134"/>
      <c r="FU306" s="134"/>
      <c r="FV306" s="134"/>
      <c r="FW306" s="134"/>
      <c r="FX306" s="134"/>
      <c r="FY306" s="134"/>
      <c r="FZ306" s="134"/>
      <c r="GA306" s="134"/>
      <c r="GB306" s="134"/>
      <c r="GC306" s="134"/>
      <c r="GD306" s="134"/>
      <c r="GE306" s="134"/>
      <c r="GF306" s="134"/>
      <c r="GG306" s="134"/>
      <c r="GH306" s="134"/>
      <c r="GI306" s="134"/>
      <c r="GJ306" s="134"/>
      <c r="GK306" s="134"/>
      <c r="GL306" s="134"/>
      <c r="GM306" s="134"/>
      <c r="GN306" s="134"/>
      <c r="GO306" s="134"/>
      <c r="GP306" s="134"/>
      <c r="GQ306" s="134"/>
      <c r="GR306" s="134"/>
      <c r="GS306" s="134"/>
      <c r="GT306" s="134"/>
      <c r="GU306" s="134"/>
      <c r="GV306" s="134"/>
      <c r="GW306" s="134"/>
      <c r="GX306" s="134"/>
      <c r="GY306" s="134"/>
      <c r="GZ306" s="134"/>
      <c r="HA306" s="134"/>
      <c r="HB306" s="134"/>
      <c r="HC306" s="134"/>
      <c r="HD306" s="134"/>
      <c r="HE306" s="134"/>
      <c r="HF306" s="134"/>
      <c r="HG306" s="134"/>
      <c r="HH306" s="134"/>
      <c r="HI306" s="134"/>
      <c r="HJ306" s="134"/>
      <c r="HK306" s="134"/>
      <c r="HL306" s="134"/>
      <c r="HM306" s="134"/>
      <c r="HN306" s="134"/>
      <c r="HO306" s="134"/>
      <c r="HP306" s="134"/>
      <c r="HQ306" s="134"/>
      <c r="HR306" s="134"/>
      <c r="HS306" s="134"/>
      <c r="HT306" s="134"/>
      <c r="HU306" s="134"/>
      <c r="HV306" s="134"/>
      <c r="HW306" s="134"/>
      <c r="HX306" s="134"/>
      <c r="HY306" s="134"/>
      <c r="HZ306" s="134"/>
      <c r="IA306" s="134"/>
      <c r="IB306" s="134"/>
      <c r="IC306" s="134"/>
      <c r="ID306" s="134"/>
      <c r="IE306" s="134"/>
      <c r="IF306" s="134"/>
      <c r="IG306" s="134"/>
      <c r="IH306" s="134"/>
      <c r="II306" s="134"/>
      <c r="IJ306" s="134"/>
      <c r="IK306" s="134"/>
      <c r="IL306" s="134"/>
      <c r="IM306" s="134"/>
      <c r="IN306" s="134"/>
      <c r="IO306" s="134"/>
      <c r="IP306" s="134"/>
      <c r="IQ306" s="134"/>
      <c r="IR306" s="134"/>
      <c r="IS306" s="134"/>
      <c r="IT306" s="134"/>
      <c r="IU306" s="134"/>
    </row>
    <row r="307" spans="1:255" ht="64.25" customHeight="1" x14ac:dyDescent="0.2">
      <c r="A307" s="236" t="str">
        <f>'HECVAT - Full'!A307</f>
        <v>PCID-07</v>
      </c>
      <c r="B307" s="236" t="str">
        <f>VLOOKUP(A307,'HECVAT - Full'!A$24:B$312,2,FALSE)</f>
        <v>Describe the architecture employed by the system to verify and authorize credit card transactions.</v>
      </c>
      <c r="C307" s="237" t="s">
        <v>2105</v>
      </c>
      <c r="D307" s="247" t="s">
        <v>2974</v>
      </c>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c r="CE307" s="134"/>
      <c r="CF307" s="134"/>
      <c r="CG307" s="134"/>
      <c r="CH307" s="134"/>
      <c r="CI307" s="134"/>
      <c r="CJ307" s="134"/>
      <c r="CK307" s="134"/>
      <c r="CL307" s="134"/>
      <c r="CM307" s="134"/>
      <c r="CN307" s="134"/>
      <c r="CO307" s="134"/>
      <c r="CP307" s="134"/>
      <c r="CQ307" s="134"/>
      <c r="CR307" s="134"/>
      <c r="CS307" s="134"/>
      <c r="CT307" s="134"/>
      <c r="CU307" s="134"/>
      <c r="CV307" s="134"/>
      <c r="CW307" s="134"/>
      <c r="CX307" s="134"/>
      <c r="CY307" s="134"/>
      <c r="CZ307" s="134"/>
      <c r="DA307" s="134"/>
      <c r="DB307" s="134"/>
      <c r="DC307" s="134"/>
      <c r="DD307" s="134"/>
      <c r="DE307" s="134"/>
      <c r="DF307" s="134"/>
      <c r="DG307" s="134"/>
      <c r="DH307" s="134"/>
      <c r="DI307" s="134"/>
      <c r="DJ307" s="134"/>
      <c r="DK307" s="134"/>
      <c r="DL307" s="134"/>
      <c r="DM307" s="134"/>
      <c r="DN307" s="134"/>
      <c r="DO307" s="134"/>
      <c r="DP307" s="134"/>
      <c r="DQ307" s="134"/>
      <c r="DR307" s="134"/>
      <c r="DS307" s="134"/>
      <c r="DT307" s="134"/>
      <c r="DU307" s="134"/>
      <c r="DV307" s="134"/>
      <c r="DW307" s="134"/>
      <c r="DX307" s="134"/>
      <c r="DY307" s="134"/>
      <c r="DZ307" s="134"/>
      <c r="EA307" s="134"/>
      <c r="EB307" s="134"/>
      <c r="EC307" s="134"/>
      <c r="ED307" s="134"/>
      <c r="EE307" s="134"/>
      <c r="EF307" s="134"/>
      <c r="EG307" s="134"/>
      <c r="EH307" s="134"/>
      <c r="EI307" s="134"/>
      <c r="EJ307" s="134"/>
      <c r="EK307" s="134"/>
      <c r="EL307" s="134"/>
      <c r="EM307" s="134"/>
      <c r="EN307" s="134"/>
      <c r="EO307" s="134"/>
      <c r="EP307" s="134"/>
      <c r="EQ307" s="134"/>
      <c r="ER307" s="134"/>
      <c r="ES307" s="134"/>
      <c r="ET307" s="134"/>
      <c r="EU307" s="134"/>
      <c r="EV307" s="134"/>
      <c r="EW307" s="134"/>
      <c r="EX307" s="134"/>
      <c r="EY307" s="134"/>
      <c r="EZ307" s="134"/>
      <c r="FA307" s="134"/>
      <c r="FB307" s="134"/>
      <c r="FC307" s="134"/>
      <c r="FD307" s="134"/>
      <c r="FE307" s="134"/>
      <c r="FF307" s="134"/>
      <c r="FG307" s="134"/>
      <c r="FH307" s="134"/>
      <c r="FI307" s="134"/>
      <c r="FJ307" s="134"/>
      <c r="FK307" s="134"/>
      <c r="FL307" s="134"/>
      <c r="FM307" s="134"/>
      <c r="FN307" s="134"/>
      <c r="FO307" s="134"/>
      <c r="FP307" s="134"/>
      <c r="FQ307" s="134"/>
      <c r="FR307" s="134"/>
      <c r="FS307" s="134"/>
      <c r="FT307" s="134"/>
      <c r="FU307" s="134"/>
      <c r="FV307" s="134"/>
      <c r="FW307" s="134"/>
      <c r="FX307" s="134"/>
      <c r="FY307" s="134"/>
      <c r="FZ307" s="134"/>
      <c r="GA307" s="134"/>
      <c r="GB307" s="134"/>
      <c r="GC307" s="134"/>
      <c r="GD307" s="134"/>
      <c r="GE307" s="134"/>
      <c r="GF307" s="134"/>
      <c r="GG307" s="134"/>
      <c r="GH307" s="134"/>
      <c r="GI307" s="134"/>
      <c r="GJ307" s="134"/>
      <c r="GK307" s="134"/>
      <c r="GL307" s="134"/>
      <c r="GM307" s="134"/>
      <c r="GN307" s="134"/>
      <c r="GO307" s="134"/>
      <c r="GP307" s="134"/>
      <c r="GQ307" s="134"/>
      <c r="GR307" s="134"/>
      <c r="GS307" s="134"/>
      <c r="GT307" s="134"/>
      <c r="GU307" s="134"/>
      <c r="GV307" s="134"/>
      <c r="GW307" s="134"/>
      <c r="GX307" s="134"/>
      <c r="GY307" s="134"/>
      <c r="GZ307" s="134"/>
      <c r="HA307" s="134"/>
      <c r="HB307" s="134"/>
      <c r="HC307" s="134"/>
      <c r="HD307" s="134"/>
      <c r="HE307" s="134"/>
      <c r="HF307" s="134"/>
      <c r="HG307" s="134"/>
      <c r="HH307" s="134"/>
      <c r="HI307" s="134"/>
      <c r="HJ307" s="134"/>
      <c r="HK307" s="134"/>
      <c r="HL307" s="134"/>
      <c r="HM307" s="134"/>
      <c r="HN307" s="134"/>
      <c r="HO307" s="134"/>
      <c r="HP307" s="134"/>
      <c r="HQ307" s="134"/>
      <c r="HR307" s="134"/>
      <c r="HS307" s="134"/>
      <c r="HT307" s="134"/>
      <c r="HU307" s="134"/>
      <c r="HV307" s="134"/>
      <c r="HW307" s="134"/>
      <c r="HX307" s="134"/>
      <c r="HY307" s="134"/>
      <c r="HZ307" s="134"/>
      <c r="IA307" s="134"/>
      <c r="IB307" s="134"/>
      <c r="IC307" s="134"/>
      <c r="ID307" s="134"/>
      <c r="IE307" s="134"/>
      <c r="IF307" s="134"/>
      <c r="IG307" s="134"/>
      <c r="IH307" s="134"/>
      <c r="II307" s="134"/>
      <c r="IJ307" s="134"/>
      <c r="IK307" s="134"/>
      <c r="IL307" s="134"/>
      <c r="IM307" s="134"/>
      <c r="IN307" s="134"/>
      <c r="IO307" s="134"/>
      <c r="IP307" s="134"/>
      <c r="IQ307" s="134"/>
      <c r="IR307" s="134"/>
      <c r="IS307" s="134"/>
      <c r="IT307" s="134"/>
      <c r="IU307" s="134"/>
    </row>
    <row r="308" spans="1:255" ht="64.25" customHeight="1" x14ac:dyDescent="0.2">
      <c r="A308" s="236" t="str">
        <f>'HECVAT - Full'!A308</f>
        <v>PCID-08</v>
      </c>
      <c r="B308" s="236" t="str">
        <f>VLOOKUP(A308,'HECVAT - Full'!A$24:B$312,2,FALSE)</f>
        <v xml:space="preserve">What payment processors/gateways does the system support? </v>
      </c>
      <c r="C308" s="237">
        <v>12.8</v>
      </c>
      <c r="D308" s="247" t="s">
        <v>2974</v>
      </c>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34"/>
      <c r="BR308" s="134"/>
      <c r="BS308" s="134"/>
      <c r="BT308" s="134"/>
      <c r="BU308" s="134"/>
      <c r="BV308" s="134"/>
      <c r="BW308" s="134"/>
      <c r="BX308" s="134"/>
      <c r="BY308" s="134"/>
      <c r="BZ308" s="134"/>
      <c r="CA308" s="134"/>
      <c r="CB308" s="134"/>
      <c r="CC308" s="134"/>
      <c r="CD308" s="134"/>
      <c r="CE308" s="134"/>
      <c r="CF308" s="134"/>
      <c r="CG308" s="134"/>
      <c r="CH308" s="134"/>
      <c r="CI308" s="134"/>
      <c r="CJ308" s="134"/>
      <c r="CK308" s="134"/>
      <c r="CL308" s="134"/>
      <c r="CM308" s="134"/>
      <c r="CN308" s="134"/>
      <c r="CO308" s="134"/>
      <c r="CP308" s="134"/>
      <c r="CQ308" s="134"/>
      <c r="CR308" s="134"/>
      <c r="CS308" s="134"/>
      <c r="CT308" s="134"/>
      <c r="CU308" s="134"/>
      <c r="CV308" s="134"/>
      <c r="CW308" s="134"/>
      <c r="CX308" s="134"/>
      <c r="CY308" s="134"/>
      <c r="CZ308" s="134"/>
      <c r="DA308" s="134"/>
      <c r="DB308" s="134"/>
      <c r="DC308" s="134"/>
      <c r="DD308" s="134"/>
      <c r="DE308" s="134"/>
      <c r="DF308" s="134"/>
      <c r="DG308" s="134"/>
      <c r="DH308" s="134"/>
      <c r="DI308" s="134"/>
      <c r="DJ308" s="134"/>
      <c r="DK308" s="134"/>
      <c r="DL308" s="134"/>
      <c r="DM308" s="134"/>
      <c r="DN308" s="134"/>
      <c r="DO308" s="134"/>
      <c r="DP308" s="134"/>
      <c r="DQ308" s="134"/>
      <c r="DR308" s="134"/>
      <c r="DS308" s="134"/>
      <c r="DT308" s="134"/>
      <c r="DU308" s="134"/>
      <c r="DV308" s="134"/>
      <c r="DW308" s="134"/>
      <c r="DX308" s="134"/>
      <c r="DY308" s="134"/>
      <c r="DZ308" s="134"/>
      <c r="EA308" s="134"/>
      <c r="EB308" s="134"/>
      <c r="EC308" s="134"/>
      <c r="ED308" s="134"/>
      <c r="EE308" s="134"/>
      <c r="EF308" s="134"/>
      <c r="EG308" s="134"/>
      <c r="EH308" s="134"/>
      <c r="EI308" s="134"/>
      <c r="EJ308" s="134"/>
      <c r="EK308" s="134"/>
      <c r="EL308" s="134"/>
      <c r="EM308" s="134"/>
      <c r="EN308" s="134"/>
      <c r="EO308" s="134"/>
      <c r="EP308" s="134"/>
      <c r="EQ308" s="134"/>
      <c r="ER308" s="134"/>
      <c r="ES308" s="134"/>
      <c r="ET308" s="134"/>
      <c r="EU308" s="134"/>
      <c r="EV308" s="134"/>
      <c r="EW308" s="134"/>
      <c r="EX308" s="134"/>
      <c r="EY308" s="134"/>
      <c r="EZ308" s="134"/>
      <c r="FA308" s="134"/>
      <c r="FB308" s="134"/>
      <c r="FC308" s="134"/>
      <c r="FD308" s="134"/>
      <c r="FE308" s="134"/>
      <c r="FF308" s="134"/>
      <c r="FG308" s="134"/>
      <c r="FH308" s="134"/>
      <c r="FI308" s="134"/>
      <c r="FJ308" s="134"/>
      <c r="FK308" s="134"/>
      <c r="FL308" s="134"/>
      <c r="FM308" s="134"/>
      <c r="FN308" s="134"/>
      <c r="FO308" s="134"/>
      <c r="FP308" s="134"/>
      <c r="FQ308" s="134"/>
      <c r="FR308" s="134"/>
      <c r="FS308" s="134"/>
      <c r="FT308" s="134"/>
      <c r="FU308" s="134"/>
      <c r="FV308" s="134"/>
      <c r="FW308" s="134"/>
      <c r="FX308" s="134"/>
      <c r="FY308" s="134"/>
      <c r="FZ308" s="134"/>
      <c r="GA308" s="134"/>
      <c r="GB308" s="134"/>
      <c r="GC308" s="134"/>
      <c r="GD308" s="134"/>
      <c r="GE308" s="134"/>
      <c r="GF308" s="134"/>
      <c r="GG308" s="134"/>
      <c r="GH308" s="134"/>
      <c r="GI308" s="134"/>
      <c r="GJ308" s="134"/>
      <c r="GK308" s="134"/>
      <c r="GL308" s="134"/>
      <c r="GM308" s="134"/>
      <c r="GN308" s="134"/>
      <c r="GO308" s="134"/>
      <c r="GP308" s="134"/>
      <c r="GQ308" s="134"/>
      <c r="GR308" s="134"/>
      <c r="GS308" s="134"/>
      <c r="GT308" s="134"/>
      <c r="GU308" s="134"/>
      <c r="GV308" s="134"/>
      <c r="GW308" s="134"/>
      <c r="GX308" s="134"/>
      <c r="GY308" s="134"/>
      <c r="GZ308" s="134"/>
      <c r="HA308" s="134"/>
      <c r="HB308" s="134"/>
      <c r="HC308" s="134"/>
      <c r="HD308" s="134"/>
      <c r="HE308" s="134"/>
      <c r="HF308" s="134"/>
      <c r="HG308" s="134"/>
      <c r="HH308" s="134"/>
      <c r="HI308" s="134"/>
      <c r="HJ308" s="134"/>
      <c r="HK308" s="134"/>
      <c r="HL308" s="134"/>
      <c r="HM308" s="134"/>
      <c r="HN308" s="134"/>
      <c r="HO308" s="134"/>
      <c r="HP308" s="134"/>
      <c r="HQ308" s="134"/>
      <c r="HR308" s="134"/>
      <c r="HS308" s="134"/>
      <c r="HT308" s="134"/>
      <c r="HU308" s="134"/>
      <c r="HV308" s="134"/>
      <c r="HW308" s="134"/>
      <c r="HX308" s="134"/>
      <c r="HY308" s="134"/>
      <c r="HZ308" s="134"/>
      <c r="IA308" s="134"/>
      <c r="IB308" s="134"/>
      <c r="IC308" s="134"/>
      <c r="ID308" s="134"/>
      <c r="IE308" s="134"/>
      <c r="IF308" s="134"/>
      <c r="IG308" s="134"/>
      <c r="IH308" s="134"/>
      <c r="II308" s="134"/>
      <c r="IJ308" s="134"/>
      <c r="IK308" s="134"/>
      <c r="IL308" s="134"/>
      <c r="IM308" s="134"/>
      <c r="IN308" s="134"/>
      <c r="IO308" s="134"/>
      <c r="IP308" s="134"/>
      <c r="IQ308" s="134"/>
      <c r="IR308" s="134"/>
      <c r="IS308" s="134"/>
      <c r="IT308" s="134"/>
      <c r="IU308" s="134"/>
    </row>
    <row r="309" spans="1:255" ht="48" customHeight="1" x14ac:dyDescent="0.2">
      <c r="A309" s="236" t="str">
        <f>'HECVAT - Full'!A309</f>
        <v>PCID-09</v>
      </c>
      <c r="B309" s="236" t="str">
        <f>VLOOKUP(A309,'HECVAT - Full'!A$24:B$312,2,FALSE)</f>
        <v>Can the application be installed in a PCI DSS compliant manner ?</v>
      </c>
      <c r="C309" s="237">
        <v>12.8</v>
      </c>
      <c r="D309" s="247" t="s">
        <v>2974</v>
      </c>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c r="CZ309" s="134"/>
      <c r="DA309" s="134"/>
      <c r="DB309" s="134"/>
      <c r="DC309" s="134"/>
      <c r="DD309" s="134"/>
      <c r="DE309" s="134"/>
      <c r="DF309" s="134"/>
      <c r="DG309" s="134"/>
      <c r="DH309" s="134"/>
      <c r="DI309" s="134"/>
      <c r="DJ309" s="134"/>
      <c r="DK309" s="134"/>
      <c r="DL309" s="134"/>
      <c r="DM309" s="134"/>
      <c r="DN309" s="134"/>
      <c r="DO309" s="134"/>
      <c r="DP309" s="134"/>
      <c r="DQ309" s="134"/>
      <c r="DR309" s="134"/>
      <c r="DS309" s="134"/>
      <c r="DT309" s="134"/>
      <c r="DU309" s="134"/>
      <c r="DV309" s="134"/>
      <c r="DW309" s="134"/>
      <c r="DX309" s="134"/>
      <c r="DY309" s="134"/>
      <c r="DZ309" s="134"/>
      <c r="EA309" s="134"/>
      <c r="EB309" s="134"/>
      <c r="EC309" s="134"/>
      <c r="ED309" s="134"/>
      <c r="EE309" s="134"/>
      <c r="EF309" s="134"/>
      <c r="EG309" s="134"/>
      <c r="EH309" s="134"/>
      <c r="EI309" s="134"/>
      <c r="EJ309" s="134"/>
      <c r="EK309" s="134"/>
      <c r="EL309" s="134"/>
      <c r="EM309" s="134"/>
      <c r="EN309" s="134"/>
      <c r="EO309" s="134"/>
      <c r="EP309" s="134"/>
      <c r="EQ309" s="134"/>
      <c r="ER309" s="134"/>
      <c r="ES309" s="134"/>
      <c r="ET309" s="134"/>
      <c r="EU309" s="134"/>
      <c r="EV309" s="134"/>
      <c r="EW309" s="134"/>
      <c r="EX309" s="134"/>
      <c r="EY309" s="134"/>
      <c r="EZ309" s="134"/>
      <c r="FA309" s="134"/>
      <c r="FB309" s="134"/>
      <c r="FC309" s="134"/>
      <c r="FD309" s="134"/>
      <c r="FE309" s="134"/>
      <c r="FF309" s="134"/>
      <c r="FG309" s="134"/>
      <c r="FH309" s="134"/>
      <c r="FI309" s="134"/>
      <c r="FJ309" s="134"/>
      <c r="FK309" s="134"/>
      <c r="FL309" s="134"/>
      <c r="FM309" s="134"/>
      <c r="FN309" s="134"/>
      <c r="FO309" s="134"/>
      <c r="FP309" s="134"/>
      <c r="FQ309" s="134"/>
      <c r="FR309" s="134"/>
      <c r="FS309" s="134"/>
      <c r="FT309" s="134"/>
      <c r="FU309" s="134"/>
      <c r="FV309" s="134"/>
      <c r="FW309" s="134"/>
      <c r="FX309" s="134"/>
      <c r="FY309" s="134"/>
      <c r="FZ309" s="134"/>
      <c r="GA309" s="134"/>
      <c r="GB309" s="134"/>
      <c r="GC309" s="134"/>
      <c r="GD309" s="134"/>
      <c r="GE309" s="134"/>
      <c r="GF309" s="134"/>
      <c r="GG309" s="134"/>
      <c r="GH309" s="134"/>
      <c r="GI309" s="134"/>
      <c r="GJ309" s="134"/>
      <c r="GK309" s="134"/>
      <c r="GL309" s="134"/>
      <c r="GM309" s="134"/>
      <c r="GN309" s="134"/>
      <c r="GO309" s="134"/>
      <c r="GP309" s="134"/>
      <c r="GQ309" s="134"/>
      <c r="GR309" s="134"/>
      <c r="GS309" s="134"/>
      <c r="GT309" s="134"/>
      <c r="GU309" s="134"/>
      <c r="GV309" s="134"/>
      <c r="GW309" s="134"/>
      <c r="GX309" s="134"/>
      <c r="GY309" s="134"/>
      <c r="GZ309" s="134"/>
      <c r="HA309" s="134"/>
      <c r="HB309" s="134"/>
      <c r="HC309" s="134"/>
      <c r="HD309" s="134"/>
      <c r="HE309" s="134"/>
      <c r="HF309" s="134"/>
      <c r="HG309" s="134"/>
      <c r="HH309" s="134"/>
      <c r="HI309" s="134"/>
      <c r="HJ309" s="134"/>
      <c r="HK309" s="134"/>
      <c r="HL309" s="134"/>
      <c r="HM309" s="134"/>
      <c r="HN309" s="134"/>
      <c r="HO309" s="134"/>
      <c r="HP309" s="134"/>
      <c r="HQ309" s="134"/>
      <c r="HR309" s="134"/>
      <c r="HS309" s="134"/>
      <c r="HT309" s="134"/>
      <c r="HU309" s="134"/>
      <c r="HV309" s="134"/>
      <c r="HW309" s="134"/>
      <c r="HX309" s="134"/>
      <c r="HY309" s="134"/>
      <c r="HZ309" s="134"/>
      <c r="IA309" s="134"/>
      <c r="IB309" s="134"/>
      <c r="IC309" s="134"/>
      <c r="ID309" s="134"/>
      <c r="IE309" s="134"/>
      <c r="IF309" s="134"/>
      <c r="IG309" s="134"/>
      <c r="IH309" s="134"/>
      <c r="II309" s="134"/>
      <c r="IJ309" s="134"/>
      <c r="IK309" s="134"/>
      <c r="IL309" s="134"/>
      <c r="IM309" s="134"/>
      <c r="IN309" s="134"/>
      <c r="IO309" s="134"/>
      <c r="IP309" s="134"/>
      <c r="IQ309" s="134"/>
      <c r="IR309" s="134"/>
      <c r="IS309" s="134"/>
      <c r="IT309" s="134"/>
      <c r="IU309" s="134"/>
    </row>
    <row r="310" spans="1:255" ht="48" customHeight="1" x14ac:dyDescent="0.2">
      <c r="A310" s="236" t="str">
        <f>'HECVAT - Full'!A310</f>
        <v>PCID-10</v>
      </c>
      <c r="B310" s="236" t="str">
        <f>VLOOKUP(A310,'HECVAT - Full'!A$24:B$312,2,FALSE)</f>
        <v xml:space="preserve">Is the application listed as an approved PA-DSS application? </v>
      </c>
      <c r="C310" s="237">
        <v>12.8</v>
      </c>
      <c r="D310" s="247" t="s">
        <v>2974</v>
      </c>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34"/>
      <c r="BQ310" s="134"/>
      <c r="BR310" s="134"/>
      <c r="BS310" s="134"/>
      <c r="BT310" s="134"/>
      <c r="BU310" s="134"/>
      <c r="BV310" s="134"/>
      <c r="BW310" s="134"/>
      <c r="BX310" s="134"/>
      <c r="BY310" s="134"/>
      <c r="BZ310" s="134"/>
      <c r="CA310" s="134"/>
      <c r="CB310" s="134"/>
      <c r="CC310" s="134"/>
      <c r="CD310" s="134"/>
      <c r="CE310" s="134"/>
      <c r="CF310" s="134"/>
      <c r="CG310" s="134"/>
      <c r="CH310" s="134"/>
      <c r="CI310" s="134"/>
      <c r="CJ310" s="134"/>
      <c r="CK310" s="134"/>
      <c r="CL310" s="134"/>
      <c r="CM310" s="134"/>
      <c r="CN310" s="134"/>
      <c r="CO310" s="134"/>
      <c r="CP310" s="134"/>
      <c r="CQ310" s="134"/>
      <c r="CR310" s="134"/>
      <c r="CS310" s="134"/>
      <c r="CT310" s="134"/>
      <c r="CU310" s="134"/>
      <c r="CV310" s="134"/>
      <c r="CW310" s="134"/>
      <c r="CX310" s="134"/>
      <c r="CY310" s="134"/>
      <c r="CZ310" s="134"/>
      <c r="DA310" s="134"/>
      <c r="DB310" s="134"/>
      <c r="DC310" s="134"/>
      <c r="DD310" s="134"/>
      <c r="DE310" s="134"/>
      <c r="DF310" s="134"/>
      <c r="DG310" s="134"/>
      <c r="DH310" s="134"/>
      <c r="DI310" s="134"/>
      <c r="DJ310" s="134"/>
      <c r="DK310" s="134"/>
      <c r="DL310" s="134"/>
      <c r="DM310" s="134"/>
      <c r="DN310" s="134"/>
      <c r="DO310" s="134"/>
      <c r="DP310" s="134"/>
      <c r="DQ310" s="134"/>
      <c r="DR310" s="134"/>
      <c r="DS310" s="134"/>
      <c r="DT310" s="134"/>
      <c r="DU310" s="134"/>
      <c r="DV310" s="134"/>
      <c r="DW310" s="134"/>
      <c r="DX310" s="134"/>
      <c r="DY310" s="134"/>
      <c r="DZ310" s="134"/>
      <c r="EA310" s="134"/>
      <c r="EB310" s="134"/>
      <c r="EC310" s="134"/>
      <c r="ED310" s="134"/>
      <c r="EE310" s="134"/>
      <c r="EF310" s="134"/>
      <c r="EG310" s="134"/>
      <c r="EH310" s="134"/>
      <c r="EI310" s="134"/>
      <c r="EJ310" s="134"/>
      <c r="EK310" s="134"/>
      <c r="EL310" s="134"/>
      <c r="EM310" s="134"/>
      <c r="EN310" s="134"/>
      <c r="EO310" s="134"/>
      <c r="EP310" s="134"/>
      <c r="EQ310" s="134"/>
      <c r="ER310" s="134"/>
      <c r="ES310" s="134"/>
      <c r="ET310" s="134"/>
      <c r="EU310" s="134"/>
      <c r="EV310" s="134"/>
      <c r="EW310" s="134"/>
      <c r="EX310" s="134"/>
      <c r="EY310" s="134"/>
      <c r="EZ310" s="134"/>
      <c r="FA310" s="134"/>
      <c r="FB310" s="134"/>
      <c r="FC310" s="134"/>
      <c r="FD310" s="134"/>
      <c r="FE310" s="134"/>
      <c r="FF310" s="134"/>
      <c r="FG310" s="134"/>
      <c r="FH310" s="134"/>
      <c r="FI310" s="134"/>
      <c r="FJ310" s="134"/>
      <c r="FK310" s="134"/>
      <c r="FL310" s="134"/>
      <c r="FM310" s="134"/>
      <c r="FN310" s="134"/>
      <c r="FO310" s="134"/>
      <c r="FP310" s="134"/>
      <c r="FQ310" s="134"/>
      <c r="FR310" s="134"/>
      <c r="FS310" s="134"/>
      <c r="FT310" s="134"/>
      <c r="FU310" s="134"/>
      <c r="FV310" s="134"/>
      <c r="FW310" s="134"/>
      <c r="FX310" s="134"/>
      <c r="FY310" s="134"/>
      <c r="FZ310" s="134"/>
      <c r="GA310" s="134"/>
      <c r="GB310" s="134"/>
      <c r="GC310" s="134"/>
      <c r="GD310" s="134"/>
      <c r="GE310" s="134"/>
      <c r="GF310" s="134"/>
      <c r="GG310" s="134"/>
      <c r="GH310" s="134"/>
      <c r="GI310" s="134"/>
      <c r="GJ310" s="134"/>
      <c r="GK310" s="134"/>
      <c r="GL310" s="134"/>
      <c r="GM310" s="134"/>
      <c r="GN310" s="134"/>
      <c r="GO310" s="134"/>
      <c r="GP310" s="134"/>
      <c r="GQ310" s="134"/>
      <c r="GR310" s="134"/>
      <c r="GS310" s="134"/>
      <c r="GT310" s="134"/>
      <c r="GU310" s="134"/>
      <c r="GV310" s="134"/>
      <c r="GW310" s="134"/>
      <c r="GX310" s="134"/>
      <c r="GY310" s="134"/>
      <c r="GZ310" s="134"/>
      <c r="HA310" s="134"/>
      <c r="HB310" s="134"/>
      <c r="HC310" s="134"/>
      <c r="HD310" s="134"/>
      <c r="HE310" s="134"/>
      <c r="HF310" s="134"/>
      <c r="HG310" s="134"/>
      <c r="HH310" s="134"/>
      <c r="HI310" s="134"/>
      <c r="HJ310" s="134"/>
      <c r="HK310" s="134"/>
      <c r="HL310" s="134"/>
      <c r="HM310" s="134"/>
      <c r="HN310" s="134"/>
      <c r="HO310" s="134"/>
      <c r="HP310" s="134"/>
      <c r="HQ310" s="134"/>
      <c r="HR310" s="134"/>
      <c r="HS310" s="134"/>
      <c r="HT310" s="134"/>
      <c r="HU310" s="134"/>
      <c r="HV310" s="134"/>
      <c r="HW310" s="134"/>
      <c r="HX310" s="134"/>
      <c r="HY310" s="134"/>
      <c r="HZ310" s="134"/>
      <c r="IA310" s="134"/>
      <c r="IB310" s="134"/>
      <c r="IC310" s="134"/>
      <c r="ID310" s="134"/>
      <c r="IE310" s="134"/>
      <c r="IF310" s="134"/>
      <c r="IG310" s="134"/>
      <c r="IH310" s="134"/>
      <c r="II310" s="134"/>
      <c r="IJ310" s="134"/>
      <c r="IK310" s="134"/>
      <c r="IL310" s="134"/>
      <c r="IM310" s="134"/>
      <c r="IN310" s="134"/>
      <c r="IO310" s="134"/>
      <c r="IP310" s="134"/>
      <c r="IQ310" s="134"/>
      <c r="IR310" s="134"/>
      <c r="IS310" s="134"/>
      <c r="IT310" s="134"/>
      <c r="IU310" s="134"/>
    </row>
    <row r="311" spans="1:255" ht="54" customHeight="1" x14ac:dyDescent="0.2">
      <c r="A311" s="236" t="str">
        <f>'HECVAT - Full'!A311</f>
        <v>PCID-11</v>
      </c>
      <c r="B311" s="236" t="str">
        <f>VLOOKUP(A311,'HECVAT - Full'!A$24:B$312,2,FALSE)</f>
        <v>Does the system or products use a third party to collect, store, process, or transmit cardholder (payment/credit/debt card) data?</v>
      </c>
      <c r="C311" s="237">
        <v>12.8</v>
      </c>
      <c r="D311" s="247" t="s">
        <v>2974</v>
      </c>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34"/>
      <c r="BQ311" s="134"/>
      <c r="BR311" s="134"/>
      <c r="BS311" s="134"/>
      <c r="BT311" s="134"/>
      <c r="BU311" s="134"/>
      <c r="BV311" s="134"/>
      <c r="BW311" s="134"/>
      <c r="BX311" s="134"/>
      <c r="BY311" s="134"/>
      <c r="BZ311" s="134"/>
      <c r="CA311" s="134"/>
      <c r="CB311" s="134"/>
      <c r="CC311" s="134"/>
      <c r="CD311" s="134"/>
      <c r="CE311" s="134"/>
      <c r="CF311" s="134"/>
      <c r="CG311" s="134"/>
      <c r="CH311" s="134"/>
      <c r="CI311" s="134"/>
      <c r="CJ311" s="134"/>
      <c r="CK311" s="134"/>
      <c r="CL311" s="134"/>
      <c r="CM311" s="134"/>
      <c r="CN311" s="134"/>
      <c r="CO311" s="134"/>
      <c r="CP311" s="134"/>
      <c r="CQ311" s="134"/>
      <c r="CR311" s="134"/>
      <c r="CS311" s="134"/>
      <c r="CT311" s="134"/>
      <c r="CU311" s="134"/>
      <c r="CV311" s="134"/>
      <c r="CW311" s="134"/>
      <c r="CX311" s="134"/>
      <c r="CY311" s="134"/>
      <c r="CZ311" s="134"/>
      <c r="DA311" s="134"/>
      <c r="DB311" s="134"/>
      <c r="DC311" s="134"/>
      <c r="DD311" s="134"/>
      <c r="DE311" s="134"/>
      <c r="DF311" s="134"/>
      <c r="DG311" s="134"/>
      <c r="DH311" s="134"/>
      <c r="DI311" s="134"/>
      <c r="DJ311" s="134"/>
      <c r="DK311" s="134"/>
      <c r="DL311" s="134"/>
      <c r="DM311" s="134"/>
      <c r="DN311" s="134"/>
      <c r="DO311" s="134"/>
      <c r="DP311" s="134"/>
      <c r="DQ311" s="134"/>
      <c r="DR311" s="134"/>
      <c r="DS311" s="134"/>
      <c r="DT311" s="134"/>
      <c r="DU311" s="134"/>
      <c r="DV311" s="134"/>
      <c r="DW311" s="134"/>
      <c r="DX311" s="134"/>
      <c r="DY311" s="134"/>
      <c r="DZ311" s="134"/>
      <c r="EA311" s="134"/>
      <c r="EB311" s="134"/>
      <c r="EC311" s="134"/>
      <c r="ED311" s="134"/>
      <c r="EE311" s="134"/>
      <c r="EF311" s="134"/>
      <c r="EG311" s="134"/>
      <c r="EH311" s="134"/>
      <c r="EI311" s="134"/>
      <c r="EJ311" s="134"/>
      <c r="EK311" s="134"/>
      <c r="EL311" s="134"/>
      <c r="EM311" s="134"/>
      <c r="EN311" s="134"/>
      <c r="EO311" s="134"/>
      <c r="EP311" s="134"/>
      <c r="EQ311" s="134"/>
      <c r="ER311" s="134"/>
      <c r="ES311" s="134"/>
      <c r="ET311" s="134"/>
      <c r="EU311" s="134"/>
      <c r="EV311" s="134"/>
      <c r="EW311" s="134"/>
      <c r="EX311" s="134"/>
      <c r="EY311" s="134"/>
      <c r="EZ311" s="134"/>
      <c r="FA311" s="134"/>
      <c r="FB311" s="134"/>
      <c r="FC311" s="134"/>
      <c r="FD311" s="134"/>
      <c r="FE311" s="134"/>
      <c r="FF311" s="134"/>
      <c r="FG311" s="134"/>
      <c r="FH311" s="134"/>
      <c r="FI311" s="134"/>
      <c r="FJ311" s="134"/>
      <c r="FK311" s="134"/>
      <c r="FL311" s="134"/>
      <c r="FM311" s="134"/>
      <c r="FN311" s="134"/>
      <c r="FO311" s="134"/>
      <c r="FP311" s="134"/>
      <c r="FQ311" s="134"/>
      <c r="FR311" s="134"/>
      <c r="FS311" s="134"/>
      <c r="FT311" s="134"/>
      <c r="FU311" s="134"/>
      <c r="FV311" s="134"/>
      <c r="FW311" s="134"/>
      <c r="FX311" s="134"/>
      <c r="FY311" s="134"/>
      <c r="FZ311" s="134"/>
      <c r="GA311" s="134"/>
      <c r="GB311" s="134"/>
      <c r="GC311" s="134"/>
      <c r="GD311" s="134"/>
      <c r="GE311" s="134"/>
      <c r="GF311" s="134"/>
      <c r="GG311" s="134"/>
      <c r="GH311" s="134"/>
      <c r="GI311" s="134"/>
      <c r="GJ311" s="134"/>
      <c r="GK311" s="134"/>
      <c r="GL311" s="134"/>
      <c r="GM311" s="134"/>
      <c r="GN311" s="134"/>
      <c r="GO311" s="134"/>
      <c r="GP311" s="134"/>
      <c r="GQ311" s="134"/>
      <c r="GR311" s="134"/>
      <c r="GS311" s="134"/>
      <c r="GT311" s="134"/>
      <c r="GU311" s="134"/>
      <c r="GV311" s="134"/>
      <c r="GW311" s="134"/>
      <c r="GX311" s="134"/>
      <c r="GY311" s="134"/>
      <c r="GZ311" s="134"/>
      <c r="HA311" s="134"/>
      <c r="HB311" s="134"/>
      <c r="HC311" s="134"/>
      <c r="HD311" s="134"/>
      <c r="HE311" s="134"/>
      <c r="HF311" s="134"/>
      <c r="HG311" s="134"/>
      <c r="HH311" s="134"/>
      <c r="HI311" s="134"/>
      <c r="HJ311" s="134"/>
      <c r="HK311" s="134"/>
      <c r="HL311" s="134"/>
      <c r="HM311" s="134"/>
      <c r="HN311" s="134"/>
      <c r="HO311" s="134"/>
      <c r="HP311" s="134"/>
      <c r="HQ311" s="134"/>
      <c r="HR311" s="134"/>
      <c r="HS311" s="134"/>
      <c r="HT311" s="134"/>
      <c r="HU311" s="134"/>
      <c r="HV311" s="134"/>
      <c r="HW311" s="134"/>
      <c r="HX311" s="134"/>
      <c r="HY311" s="134"/>
      <c r="HZ311" s="134"/>
      <c r="IA311" s="134"/>
      <c r="IB311" s="134"/>
      <c r="IC311" s="134"/>
      <c r="ID311" s="134"/>
      <c r="IE311" s="134"/>
      <c r="IF311" s="134"/>
      <c r="IG311" s="134"/>
      <c r="IH311" s="134"/>
      <c r="II311" s="134"/>
      <c r="IJ311" s="134"/>
      <c r="IK311" s="134"/>
      <c r="IL311" s="134"/>
      <c r="IM311" s="134"/>
      <c r="IN311" s="134"/>
      <c r="IO311" s="134"/>
      <c r="IP311" s="134"/>
      <c r="IQ311" s="134"/>
      <c r="IR311" s="134"/>
      <c r="IS311" s="134"/>
      <c r="IT311" s="134"/>
      <c r="IU311" s="134"/>
    </row>
    <row r="312" spans="1:255" ht="64.25" customHeight="1" x14ac:dyDescent="0.2">
      <c r="A312" s="236" t="str">
        <f>'HECVAT - Full'!A312</f>
        <v>PCID-12</v>
      </c>
      <c r="B312" s="236"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237">
        <v>12.8</v>
      </c>
      <c r="D312" s="247" t="s">
        <v>2974</v>
      </c>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34"/>
      <c r="BR312" s="134"/>
      <c r="BS312" s="134"/>
      <c r="BT312" s="134"/>
      <c r="BU312" s="134"/>
      <c r="BV312" s="134"/>
      <c r="BW312" s="134"/>
      <c r="BX312" s="134"/>
      <c r="BY312" s="134"/>
      <c r="BZ312" s="134"/>
      <c r="CA312" s="134"/>
      <c r="CB312" s="134"/>
      <c r="CC312" s="134"/>
      <c r="CD312" s="134"/>
      <c r="CE312" s="134"/>
      <c r="CF312" s="134"/>
      <c r="CG312" s="134"/>
      <c r="CH312" s="134"/>
      <c r="CI312" s="134"/>
      <c r="CJ312" s="134"/>
      <c r="CK312" s="134"/>
      <c r="CL312" s="134"/>
      <c r="CM312" s="134"/>
      <c r="CN312" s="134"/>
      <c r="CO312" s="134"/>
      <c r="CP312" s="134"/>
      <c r="CQ312" s="134"/>
      <c r="CR312" s="134"/>
      <c r="CS312" s="134"/>
      <c r="CT312" s="134"/>
      <c r="CU312" s="134"/>
      <c r="CV312" s="134"/>
      <c r="CW312" s="134"/>
      <c r="CX312" s="134"/>
      <c r="CY312" s="134"/>
      <c r="CZ312" s="134"/>
      <c r="DA312" s="134"/>
      <c r="DB312" s="134"/>
      <c r="DC312" s="134"/>
      <c r="DD312" s="134"/>
      <c r="DE312" s="134"/>
      <c r="DF312" s="134"/>
      <c r="DG312" s="134"/>
      <c r="DH312" s="134"/>
      <c r="DI312" s="134"/>
      <c r="DJ312" s="134"/>
      <c r="DK312" s="134"/>
      <c r="DL312" s="134"/>
      <c r="DM312" s="134"/>
      <c r="DN312" s="134"/>
      <c r="DO312" s="134"/>
      <c r="DP312" s="134"/>
      <c r="DQ312" s="134"/>
      <c r="DR312" s="134"/>
      <c r="DS312" s="134"/>
      <c r="DT312" s="134"/>
      <c r="DU312" s="134"/>
      <c r="DV312" s="134"/>
      <c r="DW312" s="134"/>
      <c r="DX312" s="134"/>
      <c r="DY312" s="134"/>
      <c r="DZ312" s="134"/>
      <c r="EA312" s="134"/>
      <c r="EB312" s="134"/>
      <c r="EC312" s="134"/>
      <c r="ED312" s="134"/>
      <c r="EE312" s="134"/>
      <c r="EF312" s="134"/>
      <c r="EG312" s="134"/>
      <c r="EH312" s="134"/>
      <c r="EI312" s="134"/>
      <c r="EJ312" s="134"/>
      <c r="EK312" s="134"/>
      <c r="EL312" s="134"/>
      <c r="EM312" s="134"/>
      <c r="EN312" s="134"/>
      <c r="EO312" s="134"/>
      <c r="EP312" s="134"/>
      <c r="EQ312" s="134"/>
      <c r="ER312" s="134"/>
      <c r="ES312" s="134"/>
      <c r="ET312" s="134"/>
      <c r="EU312" s="134"/>
      <c r="EV312" s="134"/>
      <c r="EW312" s="134"/>
      <c r="EX312" s="134"/>
      <c r="EY312" s="134"/>
      <c r="EZ312" s="134"/>
      <c r="FA312" s="134"/>
      <c r="FB312" s="134"/>
      <c r="FC312" s="134"/>
      <c r="FD312" s="134"/>
      <c r="FE312" s="134"/>
      <c r="FF312" s="134"/>
      <c r="FG312" s="134"/>
      <c r="FH312" s="134"/>
      <c r="FI312" s="134"/>
      <c r="FJ312" s="134"/>
      <c r="FK312" s="134"/>
      <c r="FL312" s="134"/>
      <c r="FM312" s="134"/>
      <c r="FN312" s="134"/>
      <c r="FO312" s="134"/>
      <c r="FP312" s="134"/>
      <c r="FQ312" s="134"/>
      <c r="FR312" s="134"/>
      <c r="FS312" s="134"/>
      <c r="FT312" s="134"/>
      <c r="FU312" s="134"/>
      <c r="FV312" s="134"/>
      <c r="FW312" s="134"/>
      <c r="FX312" s="134"/>
      <c r="FY312" s="134"/>
      <c r="FZ312" s="134"/>
      <c r="GA312" s="134"/>
      <c r="GB312" s="134"/>
      <c r="GC312" s="134"/>
      <c r="GD312" s="134"/>
      <c r="GE312" s="134"/>
      <c r="GF312" s="134"/>
      <c r="GG312" s="134"/>
      <c r="GH312" s="134"/>
      <c r="GI312" s="134"/>
      <c r="GJ312" s="134"/>
      <c r="GK312" s="134"/>
      <c r="GL312" s="134"/>
      <c r="GM312" s="134"/>
      <c r="GN312" s="134"/>
      <c r="GO312" s="134"/>
      <c r="GP312" s="134"/>
      <c r="GQ312" s="134"/>
      <c r="GR312" s="134"/>
      <c r="GS312" s="134"/>
      <c r="GT312" s="134"/>
      <c r="GU312" s="134"/>
      <c r="GV312" s="134"/>
      <c r="GW312" s="134"/>
      <c r="GX312" s="134"/>
      <c r="GY312" s="134"/>
      <c r="GZ312" s="134"/>
      <c r="HA312" s="134"/>
      <c r="HB312" s="134"/>
      <c r="HC312" s="134"/>
      <c r="HD312" s="134"/>
      <c r="HE312" s="134"/>
      <c r="HF312" s="134"/>
      <c r="HG312" s="134"/>
      <c r="HH312" s="134"/>
      <c r="HI312" s="134"/>
      <c r="HJ312" s="134"/>
      <c r="HK312" s="134"/>
      <c r="HL312" s="134"/>
      <c r="HM312" s="134"/>
      <c r="HN312" s="134"/>
      <c r="HO312" s="134"/>
      <c r="HP312" s="134"/>
      <c r="HQ312" s="134"/>
      <c r="HR312" s="134"/>
      <c r="HS312" s="134"/>
      <c r="HT312" s="134"/>
      <c r="HU312" s="134"/>
      <c r="HV312" s="134"/>
      <c r="HW312" s="134"/>
      <c r="HX312" s="134"/>
      <c r="HY312" s="134"/>
      <c r="HZ312" s="134"/>
      <c r="IA312" s="134"/>
      <c r="IB312" s="134"/>
      <c r="IC312" s="134"/>
      <c r="ID312" s="134"/>
      <c r="IE312" s="134"/>
      <c r="IF312" s="134"/>
      <c r="IG312" s="134"/>
      <c r="IH312" s="134"/>
      <c r="II312" s="134"/>
      <c r="IJ312" s="134"/>
      <c r="IK312" s="134"/>
      <c r="IL312" s="134"/>
      <c r="IM312" s="134"/>
      <c r="IN312" s="134"/>
      <c r="IO312" s="134"/>
      <c r="IP312" s="134"/>
      <c r="IQ312" s="134"/>
      <c r="IR312" s="134"/>
      <c r="IS312" s="134"/>
      <c r="IT312" s="134"/>
      <c r="IU312" s="134"/>
    </row>
  </sheetData>
  <mergeCells count="28">
    <mergeCell ref="A300:B300"/>
    <mergeCell ref="A192:B192"/>
    <mergeCell ref="A205:B205"/>
    <mergeCell ref="A217:B217"/>
    <mergeCell ref="A223:B223"/>
    <mergeCell ref="A244:B244"/>
    <mergeCell ref="A247:B247"/>
    <mergeCell ref="A155:B155"/>
    <mergeCell ref="A158:B158"/>
    <mergeCell ref="A253:B253"/>
    <mergeCell ref="A258:B258"/>
    <mergeCell ref="A268:B268"/>
    <mergeCell ref="A178:B178"/>
    <mergeCell ref="A1:D1"/>
    <mergeCell ref="A20:B20"/>
    <mergeCell ref="A21:D21"/>
    <mergeCell ref="A22:B22"/>
    <mergeCell ref="A23:D23"/>
    <mergeCell ref="A79:B79"/>
    <mergeCell ref="A2:D2"/>
    <mergeCell ref="A97:B97"/>
    <mergeCell ref="A110:B110"/>
    <mergeCell ref="A126:B126"/>
    <mergeCell ref="A31:B31"/>
    <mergeCell ref="A38:B38"/>
    <mergeCell ref="A46:B46"/>
    <mergeCell ref="A51:B51"/>
    <mergeCell ref="A61:B61"/>
  </mergeCells>
  <conditionalFormatting sqref="A205">
    <cfRule type="expression" dxfId="2467" priority="33">
      <formula>$C$25="No"</formula>
    </cfRule>
  </conditionalFormatting>
  <conditionalFormatting sqref="A268">
    <cfRule type="expression" dxfId="2466" priority="32">
      <formula>$C$24="No"</formula>
    </cfRule>
  </conditionalFormatting>
  <conditionalFormatting sqref="A46">
    <cfRule type="expression" dxfId="2465" priority="31">
      <formula>$C$26="No"</formula>
    </cfRule>
  </conditionalFormatting>
  <conditionalFormatting sqref="A178">
    <cfRule type="expression" dxfId="2464" priority="30">
      <formula>$C$28="No"</formula>
    </cfRule>
  </conditionalFormatting>
  <conditionalFormatting sqref="D90">
    <cfRule type="expression" dxfId="2463" priority="19">
      <formula>$C$89="No"</formula>
    </cfRule>
  </conditionalFormatting>
  <conditionalFormatting sqref="D92:D93">
    <cfRule type="expression" dxfId="2462" priority="29">
      <formula>$C$91="No"</formula>
    </cfRule>
  </conditionalFormatting>
  <conditionalFormatting sqref="A300">
    <cfRule type="expression" dxfId="2461" priority="28">
      <formula>$C$29="No"</formula>
    </cfRule>
  </conditionalFormatting>
  <conditionalFormatting sqref="C293">
    <cfRule type="expression" dxfId="2460" priority="24">
      <formula>$C$292="No"</formula>
    </cfRule>
  </conditionalFormatting>
  <conditionalFormatting sqref="C60:D60">
    <cfRule type="expression" dxfId="2459" priority="27">
      <formula>$C$59="No"</formula>
    </cfRule>
  </conditionalFormatting>
  <conditionalFormatting sqref="A51">
    <cfRule type="expression" dxfId="2458" priority="26">
      <formula>$C$30="No"</formula>
    </cfRule>
  </conditionalFormatting>
  <conditionalFormatting sqref="C112:D112">
    <cfRule type="expression" dxfId="2457" priority="18">
      <formula>$C$111="No"</formula>
    </cfRule>
  </conditionalFormatting>
  <conditionalFormatting sqref="C203:D203">
    <cfRule type="expression" dxfId="2456" priority="17">
      <formula>$C$202="No"</formula>
    </cfRule>
  </conditionalFormatting>
  <conditionalFormatting sqref="A97">
    <cfRule type="expression" dxfId="2455" priority="25">
      <formula>$C$27="No"</formula>
    </cfRule>
  </conditionalFormatting>
  <conditionalFormatting sqref="A61:B61 A79:B79 A97:B97 A110:B110 A126:B126 A158:B158 A178:B178 A192:B192 A205:B205 A223:B223 A244:B244 A247:B247 A253:B253 A268:B268 A300:B300">
    <cfRule type="expression" dxfId="2454" priority="23">
      <formula>$C$30="Yes"</formula>
    </cfRule>
  </conditionalFormatting>
  <conditionalFormatting sqref="A155:B155">
    <cfRule type="expression" dxfId="2453" priority="22">
      <formula>$C$30="Yes"</formula>
    </cfRule>
  </conditionalFormatting>
  <conditionalFormatting sqref="A217:B217">
    <cfRule type="expression" dxfId="2452" priority="21">
      <formula>$C$30="Yes"</formula>
    </cfRule>
  </conditionalFormatting>
  <conditionalFormatting sqref="A258:B258">
    <cfRule type="expression" dxfId="2451" priority="20">
      <formula>$C$30="Yes"</formula>
    </cfRule>
  </conditionalFormatting>
  <conditionalFormatting sqref="C296">
    <cfRule type="expression" dxfId="2450" priority="16">
      <formula>$C$295="No"</formula>
    </cfRule>
  </conditionalFormatting>
  <conditionalFormatting sqref="C90">
    <cfRule type="expression" dxfId="2449" priority="15">
      <formula>$C$89="No"</formula>
    </cfRule>
  </conditionalFormatting>
  <conditionalFormatting sqref="C92:C93">
    <cfRule type="expression" dxfId="2448" priority="14">
      <formula>$C$91="No"</formula>
    </cfRule>
  </conditionalFormatting>
  <conditionalFormatting sqref="D179">
    <cfRule type="expression" dxfId="2447" priority="13">
      <formula>#REF!="No"</formula>
    </cfRule>
  </conditionalFormatting>
  <conditionalFormatting sqref="D190">
    <cfRule type="expression" dxfId="2446" priority="12">
      <formula>#REF!="No"</formula>
    </cfRule>
  </conditionalFormatting>
  <conditionalFormatting sqref="D259">
    <cfRule type="expression" dxfId="2445" priority="11">
      <formula>#REF!="No"</formula>
    </cfRule>
  </conditionalFormatting>
  <conditionalFormatting sqref="D260">
    <cfRule type="expression" dxfId="2444" priority="10">
      <formula>#REF!="No"</formula>
    </cfRule>
  </conditionalFormatting>
  <conditionalFormatting sqref="D262">
    <cfRule type="expression" dxfId="2443" priority="9">
      <formula>#REF!="No"</formula>
    </cfRule>
  </conditionalFormatting>
  <conditionalFormatting sqref="D263">
    <cfRule type="expression" dxfId="2442" priority="8">
      <formula>#REF!="No"</formula>
    </cfRule>
  </conditionalFormatting>
  <conditionalFormatting sqref="D215">
    <cfRule type="expression" dxfId="2441" priority="7">
      <formula>#REF!="No"</formula>
    </cfRule>
  </conditionalFormatting>
  <conditionalFormatting sqref="D216">
    <cfRule type="expression" dxfId="2440" priority="6">
      <formula>#REF!="No"</formula>
    </cfRule>
  </conditionalFormatting>
  <conditionalFormatting sqref="D213">
    <cfRule type="expression" dxfId="2439" priority="5">
      <formula>$C$89="No"</formula>
    </cfRule>
  </conditionalFormatting>
  <conditionalFormatting sqref="C213">
    <cfRule type="expression" dxfId="2438" priority="4">
      <formula>$C$89="No"</formula>
    </cfRule>
  </conditionalFormatting>
  <conditionalFormatting sqref="D184">
    <cfRule type="expression" dxfId="2437" priority="3">
      <formula>#REF!="No"</formula>
    </cfRule>
  </conditionalFormatting>
  <conditionalFormatting sqref="D187">
    <cfRule type="expression" dxfId="2436" priority="2">
      <formula>#REF!="No"</formula>
    </cfRule>
  </conditionalFormatting>
  <conditionalFormatting sqref="D188">
    <cfRule type="expression" dxfId="243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27" workbookViewId="0">
      <selection activeCell="I49" sqref="I49"/>
    </sheetView>
  </sheetViews>
  <sheetFormatPr baseColWidth="10" defaultColWidth="8.5" defaultRowHeight="16" x14ac:dyDescent="0.2"/>
  <cols>
    <col min="1" max="1" width="14" style="139" customWidth="1"/>
    <col min="2" max="2" width="8.625" style="139" customWidth="1"/>
    <col min="3" max="3" width="36.125" style="139" customWidth="1"/>
    <col min="4" max="4" width="14.25" style="139" customWidth="1"/>
    <col min="5" max="5" width="11.5" style="139" customWidth="1"/>
    <col min="6" max="6" width="8.5" style="139"/>
    <col min="7" max="7" width="13.5" style="139" customWidth="1"/>
    <col min="8" max="8" width="24.25" style="139" customWidth="1"/>
    <col min="9" max="16384" width="8.5" style="139"/>
  </cols>
  <sheetData>
    <row r="1" spans="1:8" s="138" customFormat="1" ht="36" customHeight="1" x14ac:dyDescent="0.2">
      <c r="A1" s="359" t="s">
        <v>2984</v>
      </c>
      <c r="B1" s="359"/>
      <c r="C1" s="359"/>
      <c r="D1" s="359"/>
      <c r="E1" s="359"/>
      <c r="F1" s="359"/>
      <c r="G1" s="360"/>
      <c r="H1" s="176" t="str">
        <f>'HECVAT - Full'!E1</f>
        <v>Version 2.11</v>
      </c>
    </row>
    <row r="2" spans="1:8" s="138" customFormat="1" ht="26" customHeight="1" x14ac:dyDescent="0.2">
      <c r="A2" s="361"/>
      <c r="B2" s="361"/>
      <c r="C2" s="361"/>
      <c r="D2" s="361"/>
      <c r="E2" s="361"/>
      <c r="F2" s="361"/>
      <c r="G2" s="361"/>
      <c r="H2" s="361"/>
    </row>
    <row r="3" spans="1:8" s="137" customFormat="1" ht="36" customHeight="1" x14ac:dyDescent="0.2">
      <c r="A3" s="133" t="s">
        <v>2613</v>
      </c>
      <c r="B3" s="287" t="str">
        <f>'HECVAT - Full'!C7</f>
        <v>Hit Labs, Inc.</v>
      </c>
      <c r="C3" s="287"/>
      <c r="D3" s="133" t="s">
        <v>2615</v>
      </c>
      <c r="E3" s="287" t="str">
        <f>'HECVAT - Full'!C8</f>
        <v>Pronto</v>
      </c>
      <c r="F3" s="287"/>
      <c r="G3" s="287"/>
      <c r="H3" s="287"/>
    </row>
    <row r="4" spans="1:8" s="138" customFormat="1" ht="48" customHeight="1" x14ac:dyDescent="0.2">
      <c r="A4" s="157" t="s">
        <v>2614</v>
      </c>
      <c r="B4" s="362" t="str">
        <f>'HECVAT - Full'!C9</f>
        <v>Realtime text and video communication app</v>
      </c>
      <c r="C4" s="362"/>
      <c r="D4" s="362"/>
      <c r="E4" s="362"/>
      <c r="F4" s="362"/>
      <c r="G4" s="362"/>
      <c r="H4" s="362"/>
    </row>
    <row r="5" spans="1:8" s="138" customFormat="1" ht="36" customHeight="1" x14ac:dyDescent="0.2">
      <c r="A5" s="213"/>
      <c r="B5" s="214"/>
      <c r="C5" s="214"/>
      <c r="D5" s="349" t="s">
        <v>2061</v>
      </c>
      <c r="E5" s="350"/>
      <c r="F5" s="214"/>
      <c r="G5" s="214"/>
      <c r="H5" s="215"/>
    </row>
    <row r="6" spans="1:8" ht="36" customHeight="1" x14ac:dyDescent="0.2">
      <c r="A6" s="216"/>
      <c r="B6" s="217"/>
      <c r="C6" s="217"/>
      <c r="D6" s="141">
        <f>Questions!W23</f>
        <v>0.54567474838226748</v>
      </c>
      <c r="E6" s="162" t="str">
        <f>Questions!X23</f>
        <v>F</v>
      </c>
      <c r="F6" s="217"/>
      <c r="G6" s="217"/>
      <c r="H6" s="218"/>
    </row>
    <row r="7" spans="1:8" x14ac:dyDescent="0.2">
      <c r="A7" s="219"/>
      <c r="B7" s="220"/>
      <c r="C7" s="220"/>
      <c r="D7" s="220"/>
      <c r="E7" s="220"/>
      <c r="F7" s="220"/>
      <c r="G7" s="220"/>
      <c r="H7" s="221"/>
    </row>
    <row r="8" spans="1:8" x14ac:dyDescent="0.2">
      <c r="A8" s="219"/>
      <c r="B8" s="220"/>
      <c r="C8" s="220"/>
      <c r="D8" s="220"/>
      <c r="E8" s="220"/>
      <c r="F8" s="220"/>
      <c r="G8" s="220"/>
      <c r="H8" s="221"/>
    </row>
    <row r="9" spans="1:8" x14ac:dyDescent="0.2">
      <c r="A9" s="219"/>
      <c r="B9" s="220"/>
      <c r="C9" s="220"/>
      <c r="D9" s="220"/>
      <c r="E9" s="220"/>
      <c r="F9" s="220"/>
      <c r="G9" s="220"/>
      <c r="H9" s="221"/>
    </row>
    <row r="10" spans="1:8" x14ac:dyDescent="0.2">
      <c r="A10" s="219"/>
      <c r="B10" s="220"/>
      <c r="C10" s="220"/>
      <c r="D10" s="220"/>
      <c r="E10" s="220"/>
      <c r="F10" s="220"/>
      <c r="G10" s="220"/>
      <c r="H10" s="221"/>
    </row>
    <row r="11" spans="1:8" x14ac:dyDescent="0.2">
      <c r="A11" s="219"/>
      <c r="B11" s="220"/>
      <c r="C11" s="220"/>
      <c r="D11" s="220"/>
      <c r="E11" s="220"/>
      <c r="F11" s="220"/>
      <c r="G11" s="220"/>
      <c r="H11" s="221"/>
    </row>
    <row r="12" spans="1:8" x14ac:dyDescent="0.2">
      <c r="A12" s="219"/>
      <c r="B12" s="220"/>
      <c r="C12" s="220"/>
      <c r="D12" s="220"/>
      <c r="E12" s="220"/>
      <c r="F12" s="220"/>
      <c r="G12" s="220"/>
      <c r="H12" s="221"/>
    </row>
    <row r="13" spans="1:8" x14ac:dyDescent="0.2">
      <c r="A13" s="219"/>
      <c r="B13" s="220"/>
      <c r="C13" s="220"/>
      <c r="D13" s="220"/>
      <c r="E13" s="220"/>
      <c r="F13" s="220"/>
      <c r="G13" s="220"/>
      <c r="H13" s="221"/>
    </row>
    <row r="14" spans="1:8" x14ac:dyDescent="0.2">
      <c r="A14" s="219"/>
      <c r="B14" s="220"/>
      <c r="C14" s="220"/>
      <c r="D14" s="220"/>
      <c r="E14" s="220"/>
      <c r="F14" s="220"/>
      <c r="G14" s="220"/>
      <c r="H14" s="221"/>
    </row>
    <row r="15" spans="1:8" x14ac:dyDescent="0.2">
      <c r="A15" s="219"/>
      <c r="B15" s="220"/>
      <c r="C15" s="220"/>
      <c r="D15" s="220"/>
      <c r="E15" s="220"/>
      <c r="F15" s="220"/>
      <c r="G15" s="220"/>
      <c r="H15" s="221"/>
    </row>
    <row r="16" spans="1:8" x14ac:dyDescent="0.2">
      <c r="A16" s="219"/>
      <c r="B16" s="220"/>
      <c r="C16" s="220"/>
      <c r="D16" s="220"/>
      <c r="E16" s="220"/>
      <c r="F16" s="220"/>
      <c r="G16" s="220"/>
      <c r="H16" s="221"/>
    </row>
    <row r="17" spans="1:8" x14ac:dyDescent="0.2">
      <c r="A17" s="219"/>
      <c r="B17" s="220"/>
      <c r="C17" s="220"/>
      <c r="D17" s="220"/>
      <c r="E17" s="220"/>
      <c r="F17" s="220"/>
      <c r="G17" s="220"/>
      <c r="H17" s="221"/>
    </row>
    <row r="18" spans="1:8" x14ac:dyDescent="0.2">
      <c r="A18" s="219"/>
      <c r="B18" s="220"/>
      <c r="C18" s="220"/>
      <c r="D18" s="220"/>
      <c r="E18" s="220"/>
      <c r="F18" s="220"/>
      <c r="G18" s="220"/>
      <c r="H18" s="221"/>
    </row>
    <row r="19" spans="1:8" x14ac:dyDescent="0.2">
      <c r="A19" s="219"/>
      <c r="B19" s="220"/>
      <c r="C19" s="220"/>
      <c r="D19" s="220"/>
      <c r="E19" s="220"/>
      <c r="F19" s="220"/>
      <c r="G19" s="220"/>
      <c r="H19" s="221"/>
    </row>
    <row r="20" spans="1:8" x14ac:dyDescent="0.2">
      <c r="A20" s="219"/>
      <c r="B20" s="220"/>
      <c r="C20" s="220"/>
      <c r="D20" s="220"/>
      <c r="E20" s="220"/>
      <c r="F20" s="220"/>
      <c r="G20" s="220"/>
      <c r="H20" s="221"/>
    </row>
    <row r="21" spans="1:8" x14ac:dyDescent="0.2">
      <c r="A21" s="219"/>
      <c r="B21" s="220"/>
      <c r="C21" s="220"/>
      <c r="D21" s="220"/>
      <c r="E21" s="220"/>
      <c r="F21" s="220"/>
      <c r="G21" s="220"/>
      <c r="H21" s="221"/>
    </row>
    <row r="22" spans="1:8" x14ac:dyDescent="0.2">
      <c r="A22" s="219"/>
      <c r="B22" s="220"/>
      <c r="C22" s="220"/>
      <c r="D22" s="220"/>
      <c r="E22" s="220"/>
      <c r="F22" s="220"/>
      <c r="G22" s="220"/>
      <c r="H22" s="221"/>
    </row>
    <row r="23" spans="1:8" x14ac:dyDescent="0.2">
      <c r="A23" s="219"/>
      <c r="B23" s="220"/>
      <c r="C23" s="220"/>
      <c r="D23" s="220"/>
      <c r="E23" s="220"/>
      <c r="F23" s="220"/>
      <c r="G23" s="220"/>
      <c r="H23" s="221"/>
    </row>
    <row r="24" spans="1:8" x14ac:dyDescent="0.2">
      <c r="A24" s="219"/>
      <c r="B24" s="220"/>
      <c r="C24" s="220"/>
      <c r="D24" s="220"/>
      <c r="E24" s="220"/>
      <c r="F24" s="220"/>
      <c r="G24" s="220"/>
      <c r="H24" s="221"/>
    </row>
    <row r="25" spans="1:8" x14ac:dyDescent="0.2">
      <c r="A25" s="219"/>
      <c r="B25" s="220"/>
      <c r="C25" s="220"/>
      <c r="D25" s="220"/>
      <c r="E25" s="220"/>
      <c r="F25" s="220"/>
      <c r="G25" s="220"/>
      <c r="H25" s="221"/>
    </row>
    <row r="26" spans="1:8" x14ac:dyDescent="0.2">
      <c r="A26" s="219"/>
      <c r="B26" s="220"/>
      <c r="C26" s="220"/>
      <c r="D26" s="220"/>
      <c r="E26" s="220"/>
      <c r="F26" s="220"/>
      <c r="G26" s="220"/>
      <c r="H26" s="221"/>
    </row>
    <row r="27" spans="1:8" x14ac:dyDescent="0.2">
      <c r="A27" s="219"/>
      <c r="B27" s="220"/>
      <c r="C27" s="220"/>
      <c r="D27" s="220"/>
      <c r="E27" s="220"/>
      <c r="F27" s="220"/>
      <c r="G27" s="220"/>
      <c r="H27" s="221"/>
    </row>
    <row r="28" spans="1:8" x14ac:dyDescent="0.2">
      <c r="A28" s="219"/>
      <c r="B28" s="220"/>
      <c r="C28" s="220"/>
      <c r="D28" s="220"/>
      <c r="E28" s="220"/>
      <c r="F28" s="220"/>
      <c r="G28" s="220"/>
      <c r="H28" s="221"/>
    </row>
    <row r="29" spans="1:8" x14ac:dyDescent="0.2">
      <c r="A29" s="219"/>
      <c r="B29" s="220"/>
      <c r="C29" s="220"/>
      <c r="D29" s="220"/>
      <c r="E29" s="220"/>
      <c r="F29" s="220"/>
      <c r="G29" s="220"/>
      <c r="H29" s="221"/>
    </row>
    <row r="30" spans="1:8" x14ac:dyDescent="0.2">
      <c r="A30" s="219"/>
      <c r="B30" s="220"/>
      <c r="C30" s="220"/>
      <c r="D30" s="220"/>
      <c r="E30" s="220"/>
      <c r="F30" s="220"/>
      <c r="G30" s="220"/>
      <c r="H30" s="221"/>
    </row>
    <row r="31" spans="1:8" x14ac:dyDescent="0.2">
      <c r="A31" s="219"/>
      <c r="B31" s="220"/>
      <c r="C31" s="220"/>
      <c r="D31" s="220"/>
      <c r="E31" s="220"/>
      <c r="F31" s="220"/>
      <c r="G31" s="220"/>
      <c r="H31" s="221"/>
    </row>
    <row r="32" spans="1:8" x14ac:dyDescent="0.2">
      <c r="A32" s="219"/>
      <c r="B32" s="220"/>
      <c r="C32" s="220"/>
      <c r="D32" s="220"/>
      <c r="E32" s="220"/>
      <c r="F32" s="220"/>
      <c r="G32" s="220"/>
      <c r="H32" s="221"/>
    </row>
    <row r="33" spans="1:8" x14ac:dyDescent="0.2">
      <c r="A33" s="219"/>
      <c r="B33" s="220"/>
      <c r="C33" s="220"/>
      <c r="D33" s="220"/>
      <c r="E33" s="220"/>
      <c r="F33" s="220"/>
      <c r="G33" s="220"/>
      <c r="H33" s="221"/>
    </row>
    <row r="34" spans="1:8" x14ac:dyDescent="0.2">
      <c r="A34" s="219"/>
      <c r="B34" s="220"/>
      <c r="C34" s="220"/>
      <c r="D34" s="220"/>
      <c r="E34" s="220"/>
      <c r="F34" s="220"/>
      <c r="G34" s="220"/>
      <c r="H34" s="221"/>
    </row>
    <row r="35" spans="1:8" x14ac:dyDescent="0.2">
      <c r="A35" s="219"/>
      <c r="B35" s="220"/>
      <c r="C35" s="220"/>
      <c r="D35" s="220"/>
      <c r="E35" s="220"/>
      <c r="F35" s="220"/>
      <c r="G35" s="220"/>
      <c r="H35" s="221"/>
    </row>
    <row r="36" spans="1:8" x14ac:dyDescent="0.2">
      <c r="A36" s="219"/>
      <c r="B36" s="220"/>
      <c r="C36" s="220"/>
      <c r="D36" s="220"/>
      <c r="E36" s="220"/>
      <c r="F36" s="220"/>
      <c r="G36" s="220"/>
      <c r="H36" s="221"/>
    </row>
    <row r="37" spans="1:8" x14ac:dyDescent="0.2">
      <c r="A37" s="219"/>
      <c r="B37" s="220"/>
      <c r="C37" s="220"/>
      <c r="D37" s="220"/>
      <c r="E37" s="220"/>
      <c r="F37" s="220"/>
      <c r="G37" s="220"/>
      <c r="H37" s="221"/>
    </row>
    <row r="38" spans="1:8" x14ac:dyDescent="0.2">
      <c r="A38" s="219"/>
      <c r="B38" s="220"/>
      <c r="C38" s="220"/>
      <c r="D38" s="220"/>
      <c r="E38" s="220"/>
      <c r="F38" s="220"/>
      <c r="G38" s="220"/>
      <c r="H38" s="221"/>
    </row>
    <row r="39" spans="1:8" x14ac:dyDescent="0.2">
      <c r="A39" s="219"/>
      <c r="B39" s="220"/>
      <c r="C39" s="220"/>
      <c r="D39" s="220"/>
      <c r="E39" s="220"/>
      <c r="F39" s="220"/>
      <c r="G39" s="220"/>
      <c r="H39" s="221"/>
    </row>
    <row r="40" spans="1:8" x14ac:dyDescent="0.2">
      <c r="A40" s="219"/>
      <c r="B40" s="220"/>
      <c r="C40" s="220"/>
      <c r="D40" s="220"/>
      <c r="E40" s="220"/>
      <c r="F40" s="220"/>
      <c r="G40" s="220"/>
      <c r="H40" s="221"/>
    </row>
    <row r="41" spans="1:8" x14ac:dyDescent="0.2">
      <c r="A41" s="219"/>
      <c r="B41" s="220"/>
      <c r="C41" s="220"/>
      <c r="D41" s="220"/>
      <c r="E41" s="220"/>
      <c r="F41" s="220"/>
      <c r="G41" s="220"/>
      <c r="H41" s="221"/>
    </row>
    <row r="42" spans="1:8" x14ac:dyDescent="0.2">
      <c r="A42" s="219"/>
      <c r="B42" s="220"/>
      <c r="C42" s="220"/>
      <c r="D42" s="220"/>
      <c r="E42" s="220"/>
      <c r="F42" s="220"/>
      <c r="G42" s="220"/>
      <c r="H42" s="221"/>
    </row>
    <row r="43" spans="1:8" x14ac:dyDescent="0.2">
      <c r="A43" s="219"/>
      <c r="B43" s="220"/>
      <c r="C43" s="220"/>
      <c r="D43" s="220"/>
      <c r="E43" s="220"/>
      <c r="F43" s="220"/>
      <c r="G43" s="220"/>
      <c r="H43" s="221"/>
    </row>
    <row r="44" spans="1:8" x14ac:dyDescent="0.2">
      <c r="A44" s="219"/>
      <c r="B44" s="220"/>
      <c r="C44" s="220"/>
      <c r="D44" s="220"/>
      <c r="E44" s="220"/>
      <c r="F44" s="220"/>
      <c r="G44" s="220"/>
      <c r="H44" s="221"/>
    </row>
    <row r="45" spans="1:8" x14ac:dyDescent="0.2">
      <c r="A45" s="222"/>
      <c r="B45" s="223"/>
      <c r="C45" s="223"/>
      <c r="D45" s="223"/>
      <c r="E45" s="223"/>
      <c r="F45" s="223"/>
      <c r="G45" s="223"/>
      <c r="H45" s="224"/>
    </row>
    <row r="46" spans="1:8" ht="48" customHeight="1" x14ac:dyDescent="0.2">
      <c r="A46" s="351" t="s">
        <v>2087</v>
      </c>
      <c r="B46" s="352"/>
      <c r="C46" s="352"/>
      <c r="D46" s="352"/>
      <c r="E46" s="352"/>
      <c r="F46" s="352"/>
      <c r="G46" s="352"/>
      <c r="H46" s="353"/>
    </row>
    <row r="47" spans="1:8" s="138" customFormat="1" ht="36" customHeight="1" x14ac:dyDescent="0.2">
      <c r="A47" s="354"/>
      <c r="B47" s="355"/>
      <c r="C47" s="355"/>
      <c r="D47" s="355"/>
      <c r="E47" s="355"/>
      <c r="F47" s="356"/>
      <c r="G47" s="357" t="s">
        <v>2616</v>
      </c>
      <c r="H47" s="358"/>
    </row>
    <row r="48" spans="1:8" s="140" customFormat="1" ht="60" customHeight="1" x14ac:dyDescent="0.2">
      <c r="A48" s="143" t="str">
        <f>'High Risk Non-Compliant'!B4</f>
        <v>ID</v>
      </c>
      <c r="B48" s="347" t="str">
        <f>'High Risk Non-Compliant'!C4</f>
        <v>Question</v>
      </c>
      <c r="C48" s="347"/>
      <c r="D48" s="348" t="str">
        <f>'High Risk Non-Compliant'!D4</f>
        <v>Additional Info</v>
      </c>
      <c r="E48" s="348"/>
      <c r="F48" s="348"/>
      <c r="G48" s="171">
        <f>'Analyst Report'!B10</f>
        <v>0</v>
      </c>
      <c r="H48" s="170" t="e">
        <f>VLOOKUP('Analyst Report'!B10,'Standards Crosswalk'!A315:B321,2)</f>
        <v>#N/A</v>
      </c>
    </row>
    <row r="49" spans="1:8" ht="144" customHeight="1" x14ac:dyDescent="0.2">
      <c r="A49" s="145" t="str">
        <f>'High Risk Non-Compliant'!B5</f>
        <v>DOCU-04</v>
      </c>
      <c r="B49" s="343" t="str">
        <f>'High Risk Non-Compliant'!C5</f>
        <v>Do you conform with a specific industry standard security framework? (e.g. NIST Cybersecurity Framework, ISO 27001, etc.)</v>
      </c>
      <c r="C49" s="343"/>
      <c r="D49" s="344">
        <f>'High Risk Non-Compliant'!D5</f>
        <v>0</v>
      </c>
      <c r="E49" s="344"/>
      <c r="F49" s="344"/>
      <c r="G49" s="144" t="e">
        <f>IF(VLOOKUP(A49,'High Risk Non-Compliant'!B:K,$H$48,FALSE)=0,"N/A",VLOOKUP(A49,'High Risk Non-Compliant'!B:K,$H$48,FALSE))</f>
        <v>#REF!</v>
      </c>
      <c r="H49" s="144" t="e">
        <f>IF(G49="N/A","N/A",VLOOKUP(G49,'Crosswalk Detail'!A:B,2,FALSE))</f>
        <v>#REF!</v>
      </c>
    </row>
    <row r="50" spans="1:8" ht="144" customHeight="1" x14ac:dyDescent="0.2">
      <c r="A50" s="145" t="str">
        <f>'High Risk Non-Compliant'!B6</f>
        <v>DOCU-06</v>
      </c>
      <c r="B50" s="343" t="str">
        <f>'High Risk Non-Compliant'!C6</f>
        <v>Does your organization have a data privacy policy?</v>
      </c>
      <c r="C50" s="343"/>
      <c r="D50" s="344">
        <f>'High Risk Non-Compliant'!D6</f>
        <v>0</v>
      </c>
      <c r="E50" s="344"/>
      <c r="F50" s="344"/>
      <c r="G50" s="144" t="e">
        <f>IF(VLOOKUP(A50,'High Risk Non-Compliant'!B:K,$H$48,FALSE)=0,"N/A",VLOOKUP(A50,'High Risk Non-Compliant'!B:K,$H$48,FALSE))</f>
        <v>#REF!</v>
      </c>
      <c r="H50" s="144" t="e">
        <f>IF(G50="N/A","N/A",VLOOKUP(G50,'Crosswalk Detail'!A:B,2,FALSE))</f>
        <v>#REF!</v>
      </c>
    </row>
    <row r="51" spans="1:8" ht="144" customHeight="1" x14ac:dyDescent="0.2">
      <c r="A51" s="145" t="str">
        <f>'High Risk Non-Compliant'!B7</f>
        <v>THRD-01</v>
      </c>
      <c r="B51" s="343"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43"/>
      <c r="D51" s="344">
        <f>'High Risk Non-Compliant'!D7</f>
        <v>0</v>
      </c>
      <c r="E51" s="344"/>
      <c r="F51" s="344"/>
      <c r="G51" s="144" t="e">
        <f>IF(VLOOKUP(A51,'High Risk Non-Compliant'!B:K,$H$48,FALSE)=0,"N/A",VLOOKUP(A51,'High Risk Non-Compliant'!B:K,$H$48,FALSE))</f>
        <v>#REF!</v>
      </c>
      <c r="H51" s="144" t="e">
        <f>IF(G51="N/A","N/A",VLOOKUP(G51,'Crosswalk Detail'!A:B,2,FALSE))</f>
        <v>#REF!</v>
      </c>
    </row>
    <row r="52" spans="1:8" ht="144" customHeight="1" x14ac:dyDescent="0.2">
      <c r="A52" s="145" t="str">
        <f>'High Risk Non-Compliant'!B8</f>
        <v>THRD-02</v>
      </c>
      <c r="B52" s="343" t="str">
        <f>'High Risk Non-Compliant'!C8</f>
        <v>Provide a brief description for why each of these third parties will have access to institution data.</v>
      </c>
      <c r="C52" s="343"/>
      <c r="D52" s="344">
        <f>'High Risk Non-Compliant'!D8</f>
        <v>0</v>
      </c>
      <c r="E52" s="344"/>
      <c r="F52" s="344"/>
      <c r="G52" s="144" t="e">
        <f>IF(VLOOKUP(A52,'High Risk Non-Compliant'!B:K,$H$48,FALSE)=0,"N/A",VLOOKUP(A52,'High Risk Non-Compliant'!B:K,$H$48,FALSE))</f>
        <v>#REF!</v>
      </c>
      <c r="H52" s="144" t="e">
        <f>IF(G52="N/A","N/A",VLOOKUP(G52,'Crosswalk Detail'!A:B,2,FALSE))</f>
        <v>#REF!</v>
      </c>
    </row>
    <row r="53" spans="1:8" ht="144" customHeight="1" x14ac:dyDescent="0.2">
      <c r="A53" s="145" t="str">
        <f>'High Risk Non-Compliant'!B9</f>
        <v>THRD-03</v>
      </c>
      <c r="B53" s="343" t="str">
        <f>'High Risk Non-Compliant'!C9</f>
        <v>What legal agreements (i.e. contracts) do you have in place with these third parties that address liability in the event of a data breach?</v>
      </c>
      <c r="C53" s="343"/>
      <c r="D53" s="344">
        <f>'High Risk Non-Compliant'!D9</f>
        <v>0</v>
      </c>
      <c r="E53" s="344"/>
      <c r="F53" s="344"/>
      <c r="G53" s="144" t="e">
        <f>IF(VLOOKUP(A53,'High Risk Non-Compliant'!B:K,$H$48,FALSE)=0,"N/A",VLOOKUP(A53,'High Risk Non-Compliant'!B:K,$H$48,FALSE))</f>
        <v>#REF!</v>
      </c>
      <c r="H53" s="144" t="e">
        <f>IF(G53="N/A","N/A",VLOOKUP(G53,'Crosswalk Detail'!A:B,2,FALSE))</f>
        <v>#REF!</v>
      </c>
    </row>
    <row r="54" spans="1:8" ht="144" customHeight="1" x14ac:dyDescent="0.2">
      <c r="A54" s="145" t="str">
        <f>'High Risk Non-Compliant'!B10</f>
        <v>THRD-04</v>
      </c>
      <c r="B54" s="345" t="str">
        <f>'High Risk Non-Compliant'!C10</f>
        <v>Describe or provide references to your third party management strategy or provide additional information that may help analysts better understand your environment and how it relates to third-party solutions.</v>
      </c>
      <c r="C54" s="345"/>
      <c r="D54" s="344">
        <f>'High Risk Non-Compliant'!D10</f>
        <v>0</v>
      </c>
      <c r="E54" s="344"/>
      <c r="F54" s="344"/>
      <c r="G54" s="144" t="e">
        <f>IF(VLOOKUP(A54,'High Risk Non-Compliant'!B:K,$H$48,FALSE)=0,"N/A",VLOOKUP(A54,'High Risk Non-Compliant'!B:K,$H$48,FALSE))</f>
        <v>#REF!</v>
      </c>
      <c r="H54" s="144" t="e">
        <f>IF(G54="N/A","N/A",VLOOKUP(G54,'Crosswalk Detail'!A:B,2,FALSE))</f>
        <v>#REF!</v>
      </c>
    </row>
    <row r="55" spans="1:8" ht="144" customHeight="1" x14ac:dyDescent="0.2">
      <c r="A55" s="145" t="str">
        <f>'High Risk Non-Compliant'!B11</f>
        <v>CONS-03</v>
      </c>
      <c r="B55" s="343" t="str">
        <f>'High Risk Non-Compliant'!C11</f>
        <v>Will the consultant require access to hardware in the Institution's data centers?</v>
      </c>
      <c r="C55" s="343"/>
      <c r="D55" s="344">
        <f>'High Risk Non-Compliant'!D11</f>
        <v>0</v>
      </c>
      <c r="E55" s="344"/>
      <c r="F55" s="344"/>
      <c r="G55" s="144" t="e">
        <f>IF(VLOOKUP(A55,'High Risk Non-Compliant'!B:K,$H$48,FALSE)=0,"N/A",VLOOKUP(A55,'High Risk Non-Compliant'!B:K,$H$48,FALSE))</f>
        <v>#REF!</v>
      </c>
      <c r="H55" s="144" t="e">
        <f>IF(G55="N/A","N/A",VLOOKUP(G55,'Crosswalk Detail'!A:B,2,FALSE))</f>
        <v>#REF!</v>
      </c>
    </row>
    <row r="56" spans="1:8" ht="144" customHeight="1" x14ac:dyDescent="0.2">
      <c r="A56" s="145" t="str">
        <f>'High Risk Non-Compliant'!B12</f>
        <v>CONS-06</v>
      </c>
      <c r="B56" s="343" t="str">
        <f>'High Risk Non-Compliant'!C12</f>
        <v>Will any data be transferred to the consultant's possession?</v>
      </c>
      <c r="C56" s="343"/>
      <c r="D56" s="344">
        <f>'High Risk Non-Compliant'!D12</f>
        <v>0</v>
      </c>
      <c r="E56" s="344"/>
      <c r="F56" s="344"/>
      <c r="G56" s="144" t="e">
        <f>IF(VLOOKUP(A56,'High Risk Non-Compliant'!B:K,$H$48,FALSE)=0,"N/A",VLOOKUP(A56,'High Risk Non-Compliant'!B:K,$H$48,FALSE))</f>
        <v>#REF!</v>
      </c>
      <c r="H56" s="144" t="e">
        <f>IF(G56="N/A","N/A",VLOOKUP(G56,'Crosswalk Detail'!A:B,2,FALSE))</f>
        <v>#REF!</v>
      </c>
    </row>
    <row r="57" spans="1:8" ht="144" customHeight="1" x14ac:dyDescent="0.2">
      <c r="A57" s="145" t="str">
        <f>'High Risk Non-Compliant'!B13</f>
        <v>CONS-08</v>
      </c>
      <c r="B57" s="343" t="str">
        <f>'High Risk Non-Compliant'!C13</f>
        <v>Will the consultant need remote access to the Institution's network or systems?</v>
      </c>
      <c r="C57" s="343"/>
      <c r="D57" s="344">
        <f>'High Risk Non-Compliant'!D13</f>
        <v>0</v>
      </c>
      <c r="E57" s="344"/>
      <c r="F57" s="344"/>
      <c r="G57" s="144" t="e">
        <f>IF(VLOOKUP(A57,'High Risk Non-Compliant'!B:K,$H$48,FALSE)=0,"N/A",VLOOKUP(A57,'High Risk Non-Compliant'!B:K,$H$48,FALSE))</f>
        <v>#REF!</v>
      </c>
      <c r="H57" s="144" t="e">
        <f>IF(G57="N/A","N/A",VLOOKUP(G57,'Crosswalk Detail'!A:B,2,FALSE))</f>
        <v>#REF!</v>
      </c>
    </row>
    <row r="58" spans="1:8" ht="144" customHeight="1" x14ac:dyDescent="0.2">
      <c r="A58" s="145" t="str">
        <f>'High Risk Non-Compliant'!B14</f>
        <v>APPL-01</v>
      </c>
      <c r="B58" s="343" t="str">
        <f>'High Risk Non-Compliant'!C14</f>
        <v>Do you support role-based access control (RBAC) for end-users?</v>
      </c>
      <c r="C58" s="343"/>
      <c r="D58" s="344">
        <f>'High Risk Non-Compliant'!D14</f>
        <v>0</v>
      </c>
      <c r="E58" s="344"/>
      <c r="F58" s="344"/>
      <c r="G58" s="144" t="e">
        <f>IF(VLOOKUP(A58,'High Risk Non-Compliant'!B:K,$H$48,FALSE)=0,"N/A",VLOOKUP(A58,'High Risk Non-Compliant'!B:K,$H$48,FALSE))</f>
        <v>#REF!</v>
      </c>
      <c r="H58" s="144" t="e">
        <f>IF(G58="N/A","N/A",VLOOKUP(G58,'Crosswalk Detail'!A:B,2,FALSE))</f>
        <v>#REF!</v>
      </c>
    </row>
    <row r="59" spans="1:8" ht="144" customHeight="1" x14ac:dyDescent="0.2">
      <c r="A59" s="145" t="str">
        <f>'High Risk Non-Compliant'!B15</f>
        <v>APPL-02</v>
      </c>
      <c r="B59" s="343" t="str">
        <f>'High Risk Non-Compliant'!C15</f>
        <v>Do you support role-based access control (RBAC) for system administrators?</v>
      </c>
      <c r="C59" s="343"/>
      <c r="D59" s="344">
        <f>'High Risk Non-Compliant'!D15</f>
        <v>0</v>
      </c>
      <c r="E59" s="344"/>
      <c r="F59" s="344"/>
      <c r="G59" s="144" t="e">
        <f>IF(VLOOKUP(A59,'High Risk Non-Compliant'!B:K,$H$48,FALSE)=0,"N/A",VLOOKUP(A59,'High Risk Non-Compliant'!B:K,$H$48,FALSE))</f>
        <v>#REF!</v>
      </c>
      <c r="H59" s="144" t="e">
        <f>IF(G59="N/A","N/A",VLOOKUP(G59,'Crosswalk Detail'!A:B,2,FALSE))</f>
        <v>#REF!</v>
      </c>
    </row>
    <row r="60" spans="1:8" ht="144" customHeight="1" x14ac:dyDescent="0.2">
      <c r="A60" s="145" t="str">
        <f>'High Risk Non-Compliant'!B16</f>
        <v>APPL-06</v>
      </c>
      <c r="B60" s="343" t="str">
        <f>'High Risk Non-Compliant'!C16</f>
        <v xml:space="preserve">Do you employ a single-tenant environment? </v>
      </c>
      <c r="C60" s="343"/>
      <c r="D60" s="344">
        <f>'High Risk Non-Compliant'!D16</f>
        <v>0</v>
      </c>
      <c r="E60" s="344"/>
      <c r="F60" s="344"/>
      <c r="G60" s="144" t="e">
        <f>IF(VLOOKUP(A60,'High Risk Non-Compliant'!B:K,$H$48,FALSE)=0,"N/A",VLOOKUP(A60,'High Risk Non-Compliant'!B:K,$H$48,FALSE))</f>
        <v>#REF!</v>
      </c>
      <c r="H60" s="144" t="e">
        <f>IF(G60="N/A","N/A",VLOOKUP(G60,'Crosswalk Detail'!A:B,2,FALSE))</f>
        <v>#REF!</v>
      </c>
    </row>
    <row r="61" spans="1:8" ht="144" customHeight="1" x14ac:dyDescent="0.2">
      <c r="A61" s="145" t="str">
        <f>'High Risk Non-Compliant'!B17</f>
        <v>APPL-08</v>
      </c>
      <c r="B61" s="343" t="str">
        <f>'High Risk Non-Compliant'!C17</f>
        <v>Have you or any third party you contract with that may have access or allow access to the institution's data experienced a breach?</v>
      </c>
      <c r="C61" s="343"/>
      <c r="D61" s="344">
        <f>'High Risk Non-Compliant'!D17</f>
        <v>0</v>
      </c>
      <c r="E61" s="344"/>
      <c r="F61" s="344"/>
      <c r="G61" s="144" t="e">
        <f>IF(VLOOKUP(A61,'High Risk Non-Compliant'!B:K,$H$48,FALSE)=0,"N/A",VLOOKUP(A61,'High Risk Non-Compliant'!B:K,$H$48,FALSE))</f>
        <v>#REF!</v>
      </c>
      <c r="H61" s="144" t="e">
        <f>IF(G61="N/A","N/A",VLOOKUP(G61,'Crosswalk Detail'!A:B,2,FALSE))</f>
        <v>#REF!</v>
      </c>
    </row>
    <row r="62" spans="1:8" ht="144" customHeight="1" x14ac:dyDescent="0.2">
      <c r="A62" s="145" t="str">
        <f>'High Risk Non-Compliant'!B18</f>
        <v>APPL-10</v>
      </c>
      <c r="B62" s="343"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43"/>
      <c r="D62" s="344">
        <f>'High Risk Non-Compliant'!D18</f>
        <v>0</v>
      </c>
      <c r="E62" s="344"/>
      <c r="F62" s="344"/>
      <c r="G62" s="144" t="e">
        <f>IF(VLOOKUP(A62,'High Risk Non-Compliant'!B:K,$H$48,FALSE)=0,"N/A",VLOOKUP(A62,'High Risk Non-Compliant'!B:K,$H$48,FALSE))</f>
        <v>#REF!</v>
      </c>
      <c r="H62" s="144" t="e">
        <f>IF(G62="N/A","N/A",VLOOKUP(G62,'Crosswalk Detail'!A:B,2,FALSE))</f>
        <v>#REF!</v>
      </c>
    </row>
    <row r="63" spans="1:8" ht="144" customHeight="1" x14ac:dyDescent="0.2">
      <c r="A63" s="145" t="str">
        <f>'High Risk Non-Compliant'!B19</f>
        <v>APPL-11</v>
      </c>
      <c r="B63" s="343" t="str">
        <f>'High Risk Non-Compliant'!C19</f>
        <v>Are databases used in the system segregated from front-end systems? (e.g. web and application servers)</v>
      </c>
      <c r="C63" s="343"/>
      <c r="D63" s="344">
        <f>'High Risk Non-Compliant'!D19</f>
        <v>0</v>
      </c>
      <c r="E63" s="344"/>
      <c r="F63" s="344"/>
      <c r="G63" s="144" t="e">
        <f>IF(VLOOKUP(A63,'High Risk Non-Compliant'!B:K,$H$48,FALSE)=0,"N/A",VLOOKUP(A63,'High Risk Non-Compliant'!B:K,$H$48,FALSE))</f>
        <v>#REF!</v>
      </c>
      <c r="H63" s="144" t="e">
        <f>IF(G63="N/A","N/A",VLOOKUP(G63,'Crosswalk Detail'!A:B,2,FALSE))</f>
        <v>#REF!</v>
      </c>
    </row>
    <row r="64" spans="1:8" ht="144" customHeight="1" x14ac:dyDescent="0.2">
      <c r="A64" s="145" t="str">
        <f>'High Risk Non-Compliant'!B20</f>
        <v>APPL-14</v>
      </c>
      <c r="B64" s="343" t="str">
        <f>'High Risk Non-Compliant'!C20</f>
        <v xml:space="preserve">Can your system take advantage of mobile and/or GPS enabled mobile devices?  </v>
      </c>
      <c r="C64" s="343"/>
      <c r="D64" s="344">
        <f>'High Risk Non-Compliant'!D20</f>
        <v>0</v>
      </c>
      <c r="E64" s="344"/>
      <c r="F64" s="344"/>
      <c r="G64" s="144" t="e">
        <f>IF(VLOOKUP(A64,'High Risk Non-Compliant'!B:K,$H$48,FALSE)=0,"N/A",VLOOKUP(A64,'High Risk Non-Compliant'!B:K,$H$48,FALSE))</f>
        <v>#REF!</v>
      </c>
      <c r="H64" s="144" t="e">
        <f>IF(G64="N/A","N/A",VLOOKUP(G64,'Crosswalk Detail'!A:B,2,FALSE))</f>
        <v>#REF!</v>
      </c>
    </row>
    <row r="65" spans="1:8" ht="144" customHeight="1" x14ac:dyDescent="0.2">
      <c r="A65" s="145" t="str">
        <f>'High Risk Non-Compliant'!B21</f>
        <v>APPL-15</v>
      </c>
      <c r="B65" s="343" t="str">
        <f>'High Risk Non-Compliant'!C21</f>
        <v>Describe or provide a reference to the facilities available in the system to provide separation of duties between security administration and system administration functions.</v>
      </c>
      <c r="C65" s="343"/>
      <c r="D65" s="344">
        <f>'High Risk Non-Compliant'!D21</f>
        <v>0</v>
      </c>
      <c r="E65" s="344"/>
      <c r="F65" s="344"/>
      <c r="G65" s="144" t="e">
        <f>IF(VLOOKUP(A65,'High Risk Non-Compliant'!B:K,$H$48,FALSE)=0,"N/A",VLOOKUP(A65,'High Risk Non-Compliant'!B:K,$H$48,FALSE))</f>
        <v>#REF!</v>
      </c>
      <c r="H65" s="144" t="e">
        <f>IF(G65="N/A","N/A",VLOOKUP(G65,'Crosswalk Detail'!A:B,2,FALSE))</f>
        <v>#REF!</v>
      </c>
    </row>
    <row r="66" spans="1:8" ht="144" customHeight="1" x14ac:dyDescent="0.2">
      <c r="A66" s="145" t="str">
        <f>'High Risk Non-Compliant'!B22</f>
        <v>APPL-16</v>
      </c>
      <c r="B66" s="343" t="str">
        <f>'High Risk Non-Compliant'!C22</f>
        <v>Describe or provide a reference that details how administrator access is handled (e.g. provisioning, principle of least privilege, deprovisioning, etc.)</v>
      </c>
      <c r="C66" s="343"/>
      <c r="D66" s="344">
        <f>'High Risk Non-Compliant'!D22</f>
        <v>0</v>
      </c>
      <c r="E66" s="344"/>
      <c r="F66" s="344"/>
      <c r="G66" s="144" t="e">
        <f>IF(VLOOKUP(A66,'High Risk Non-Compliant'!B:K,$H$48,FALSE)=0,"N/A",VLOOKUP(A66,'High Risk Non-Compliant'!B:K,$H$48,FALSE))</f>
        <v>#REF!</v>
      </c>
      <c r="H66" s="144" t="e">
        <f>IF(G66="N/A","N/A",VLOOKUP(G66,'Crosswalk Detail'!A:B,2,FALSE))</f>
        <v>#REF!</v>
      </c>
    </row>
    <row r="67" spans="1:8" ht="144" customHeight="1" x14ac:dyDescent="0.2">
      <c r="A67" s="145" t="str">
        <f>'High Risk Non-Compliant'!B23</f>
        <v>AAAI-01</v>
      </c>
      <c r="B67" s="343" t="str">
        <f>'High Risk Non-Compliant'!C23</f>
        <v>Can you enforce password/passphrase aging requirements?</v>
      </c>
      <c r="C67" s="343"/>
      <c r="D67" s="344">
        <f>'High Risk Non-Compliant'!D23</f>
        <v>0</v>
      </c>
      <c r="E67" s="344"/>
      <c r="F67" s="344"/>
      <c r="G67" s="144" t="e">
        <f>IF(VLOOKUP(A67,'High Risk Non-Compliant'!B:K,$H$48,FALSE)=0,"N/A",VLOOKUP(A67,'High Risk Non-Compliant'!B:K,$H$48,FALSE))</f>
        <v>#REF!</v>
      </c>
      <c r="H67" s="144" t="e">
        <f>IF(G67="N/A","N/A",VLOOKUP(G67,'Crosswalk Detail'!A:B,2,FALSE))</f>
        <v>#REF!</v>
      </c>
    </row>
    <row r="68" spans="1:8" ht="144" customHeight="1" x14ac:dyDescent="0.2">
      <c r="A68" s="145" t="str">
        <f>'High Risk Non-Compliant'!B24</f>
        <v>AAAI-02</v>
      </c>
      <c r="B68" s="343" t="str">
        <f>'High Risk Non-Compliant'!C24</f>
        <v>Can you enforce password/passphrase complexity requirements [provided by the institution]?</v>
      </c>
      <c r="C68" s="343"/>
      <c r="D68" s="344">
        <f>'High Risk Non-Compliant'!D24</f>
        <v>0</v>
      </c>
      <c r="E68" s="344"/>
      <c r="F68" s="344"/>
      <c r="G68" s="144" t="e">
        <f>IF(VLOOKUP(A68,'High Risk Non-Compliant'!B:K,$H$48,FALSE)=0,"N/A",VLOOKUP(A68,'High Risk Non-Compliant'!B:K,$H$48,FALSE))</f>
        <v>#REF!</v>
      </c>
      <c r="H68" s="144" t="e">
        <f>IF(G68="N/A","N/A",VLOOKUP(G68,'Crosswalk Detail'!A:B,2,FALSE))</f>
        <v>#REF!</v>
      </c>
    </row>
    <row r="69" spans="1:8" ht="144" customHeight="1" x14ac:dyDescent="0.2">
      <c r="A69" s="145" t="str">
        <f>'High Risk Non-Compliant'!B25</f>
        <v>AAAI-03</v>
      </c>
      <c r="B69" s="343" t="str">
        <f>'High Risk Non-Compliant'!C25</f>
        <v>Does the system have password complexity or length limitations and/or restrictions?</v>
      </c>
      <c r="C69" s="343"/>
      <c r="D69" s="344">
        <f>'High Risk Non-Compliant'!D25</f>
        <v>0</v>
      </c>
      <c r="E69" s="344"/>
      <c r="F69" s="344"/>
      <c r="G69" s="144" t="e">
        <f>IF(VLOOKUP(A69,'High Risk Non-Compliant'!B:K,$H$48,FALSE)=0,"N/A",VLOOKUP(A69,'High Risk Non-Compliant'!B:K,$H$48,FALSE))</f>
        <v>#REF!</v>
      </c>
      <c r="H69" s="144" t="e">
        <f>IF(G69="N/A","N/A",VLOOKUP(G69,'Crosswalk Detail'!A:B,2,FALSE))</f>
        <v>#REF!</v>
      </c>
    </row>
    <row r="70" spans="1:8" ht="144" customHeight="1" x14ac:dyDescent="0.2">
      <c r="A70" s="145" t="str">
        <f>'High Risk Non-Compliant'!B26</f>
        <v>AAAI-05</v>
      </c>
      <c r="B70" s="343" t="str">
        <f>'High Risk Non-Compliant'!C26</f>
        <v>Does your web-based interface support authentication, including standards-based single-sign-on? (e.g. InCommon)</v>
      </c>
      <c r="C70" s="343"/>
      <c r="D70" s="344">
        <f>'High Risk Non-Compliant'!D26</f>
        <v>0</v>
      </c>
      <c r="E70" s="344"/>
      <c r="F70" s="344"/>
      <c r="G70" s="144" t="e">
        <f>IF(VLOOKUP(A70,'High Risk Non-Compliant'!B:K,$H$48,FALSE)=0,"N/A",VLOOKUP(A70,'High Risk Non-Compliant'!B:K,$H$48,FALSE))</f>
        <v>#REF!</v>
      </c>
      <c r="H70" s="144" t="e">
        <f>IF(G70="N/A","N/A",VLOOKUP(G70,'Crosswalk Detail'!A:B,2,FALSE))</f>
        <v>#REF!</v>
      </c>
    </row>
    <row r="71" spans="1:8" ht="144" customHeight="1" x14ac:dyDescent="0.2">
      <c r="A71" s="145" t="str">
        <f>'High Risk Non-Compliant'!B27</f>
        <v>AAAI-06</v>
      </c>
      <c r="B71" s="343" t="str">
        <f>'High Risk Non-Compliant'!C27</f>
        <v>Are there any passwords/passphrases hard coded into your systems or products?</v>
      </c>
      <c r="C71" s="343"/>
      <c r="D71" s="344">
        <f>'High Risk Non-Compliant'!D27</f>
        <v>0</v>
      </c>
      <c r="E71" s="344"/>
      <c r="F71" s="344"/>
      <c r="G71" s="144" t="e">
        <f>IF(VLOOKUP(A71,'High Risk Non-Compliant'!B:K,$H$48,FALSE)=0,"N/A",VLOOKUP(A71,'High Risk Non-Compliant'!B:K,$H$48,FALSE))</f>
        <v>#REF!</v>
      </c>
      <c r="H71" s="144" t="e">
        <f>IF(G71="N/A","N/A",VLOOKUP(G71,'Crosswalk Detail'!A:B,2,FALSE))</f>
        <v>#REF!</v>
      </c>
    </row>
    <row r="72" spans="1:8" ht="144" customHeight="1" x14ac:dyDescent="0.2">
      <c r="A72" s="145" t="str">
        <f>'High Risk Non-Compliant'!B28</f>
        <v>AAAI-07</v>
      </c>
      <c r="B72" s="343" t="str">
        <f>'High Risk Non-Compliant'!C28</f>
        <v>Are user account passwords/passphrases visible in administration modules?</v>
      </c>
      <c r="C72" s="343"/>
      <c r="D72" s="344">
        <f>'High Risk Non-Compliant'!D28</f>
        <v>0</v>
      </c>
      <c r="E72" s="344"/>
      <c r="F72" s="344"/>
      <c r="G72" s="144" t="e">
        <f>IF(VLOOKUP(A72,'High Risk Non-Compliant'!B:K,$H$48,FALSE)=0,"N/A",VLOOKUP(A72,'High Risk Non-Compliant'!B:K,$H$48,FALSE))</f>
        <v>#REF!</v>
      </c>
      <c r="H72" s="144" t="e">
        <f>IF(G72="N/A","N/A",VLOOKUP(G72,'Crosswalk Detail'!A:B,2,FALSE))</f>
        <v>#REF!</v>
      </c>
    </row>
    <row r="73" spans="1:8" ht="144" customHeight="1" x14ac:dyDescent="0.2">
      <c r="A73" s="145" t="str">
        <f>'High Risk Non-Compliant'!B29</f>
        <v>AAAI-08</v>
      </c>
      <c r="B73" s="343" t="str">
        <f>'High Risk Non-Compliant'!C29</f>
        <v>Are user account passwords/passphrases stored encrypted?</v>
      </c>
      <c r="C73" s="343"/>
      <c r="D73" s="344">
        <f>'High Risk Non-Compliant'!D29</f>
        <v>0</v>
      </c>
      <c r="E73" s="344"/>
      <c r="F73" s="344"/>
      <c r="G73" s="144" t="e">
        <f>IF(VLOOKUP(A73,'High Risk Non-Compliant'!B:K,$H$48,FALSE)=0,"N/A",VLOOKUP(A73,'High Risk Non-Compliant'!B:K,$H$48,FALSE))</f>
        <v>#REF!</v>
      </c>
      <c r="H73" s="144" t="e">
        <f>IF(G73="N/A","N/A",VLOOKUP(G73,'Crosswalk Detail'!A:B,2,FALSE))</f>
        <v>#REF!</v>
      </c>
    </row>
    <row r="74" spans="1:8" ht="144" customHeight="1" x14ac:dyDescent="0.2">
      <c r="A74" s="145" t="str">
        <f>'High Risk Non-Compliant'!B30</f>
        <v>AAAI-11</v>
      </c>
      <c r="B74" s="343" t="str">
        <f>'High Risk Non-Compliant'!C30</f>
        <v>Will any external authentication or authorization system be utilized by an application with access to the institution's data?</v>
      </c>
      <c r="C74" s="343"/>
      <c r="D74" s="344">
        <f>'High Risk Non-Compliant'!D30</f>
        <v>0</v>
      </c>
      <c r="E74" s="344"/>
      <c r="F74" s="344"/>
      <c r="G74" s="144" t="e">
        <f>IF(VLOOKUP(A74,'High Risk Non-Compliant'!B:K,$H$48,FALSE)=0,"N/A",VLOOKUP(A74,'High Risk Non-Compliant'!B:K,$H$48,FALSE))</f>
        <v>#REF!</v>
      </c>
      <c r="H74" s="144" t="e">
        <f>IF(G74="N/A","N/A",VLOOKUP(G74,'Crosswalk Detail'!A:B,2,FALSE))</f>
        <v>#REF!</v>
      </c>
    </row>
    <row r="75" spans="1:8" ht="144" customHeight="1" x14ac:dyDescent="0.2">
      <c r="A75" s="145" t="str">
        <f>'High Risk Non-Compliant'!B31</f>
        <v>AAAI-13</v>
      </c>
      <c r="B75" s="343" t="str">
        <f>'High Risk Non-Compliant'!C31</f>
        <v>Does the system operate in a mixed authentication mode (i.e. external and local authentication)?</v>
      </c>
      <c r="C75" s="343"/>
      <c r="D75" s="344">
        <f>'High Risk Non-Compliant'!D31</f>
        <v>0</v>
      </c>
      <c r="E75" s="344"/>
      <c r="F75" s="344"/>
      <c r="G75" s="144" t="e">
        <f>IF(VLOOKUP(A75,'High Risk Non-Compliant'!B:K,$H$48,FALSE)=0,"N/A",VLOOKUP(A75,'High Risk Non-Compliant'!B:K,$H$48,FALSE))</f>
        <v>#REF!</v>
      </c>
      <c r="H75" s="144" t="e">
        <f>IF(G75="N/A","N/A",VLOOKUP(G75,'Crosswalk Detail'!A:B,2,FALSE))</f>
        <v>#REF!</v>
      </c>
    </row>
    <row r="76" spans="1:8" ht="144" customHeight="1" x14ac:dyDescent="0.2">
      <c r="A76" s="145" t="str">
        <f>'High Risk Non-Compliant'!B32</f>
        <v>AAAI-14</v>
      </c>
      <c r="B76" s="343" t="str">
        <f>'High Risk Non-Compliant'!C32</f>
        <v>Will any external authentication or authorization system be utilized by a system with access to institution data?</v>
      </c>
      <c r="C76" s="343"/>
      <c r="D76" s="344">
        <f>'High Risk Non-Compliant'!D32</f>
        <v>0</v>
      </c>
      <c r="E76" s="344"/>
      <c r="F76" s="344"/>
      <c r="G76" s="144" t="e">
        <f>IF(VLOOKUP(A76,'High Risk Non-Compliant'!B:K,$H$48,FALSE)=0,"N/A",VLOOKUP(A76,'High Risk Non-Compliant'!B:K,$H$48,FALSE))</f>
        <v>#REF!</v>
      </c>
      <c r="H76" s="144" t="e">
        <f>IF(G76="N/A","N/A",VLOOKUP(G76,'Crosswalk Detail'!A:B,2,FALSE))</f>
        <v>#REF!</v>
      </c>
    </row>
    <row r="77" spans="1:8" ht="144" customHeight="1" x14ac:dyDescent="0.2">
      <c r="A77" s="145" t="str">
        <f>'High Risk Non-Compliant'!B33</f>
        <v>AAAI-15</v>
      </c>
      <c r="B77" s="343" t="str">
        <f>'High Risk Non-Compliant'!C33</f>
        <v>Are audit logs available that include AT LEAST all of the following; login, logout, actions performed, and source IP address?</v>
      </c>
      <c r="C77" s="343"/>
      <c r="D77" s="344">
        <f>'High Risk Non-Compliant'!D33</f>
        <v>0</v>
      </c>
      <c r="E77" s="344"/>
      <c r="F77" s="344"/>
      <c r="G77" s="144" t="e">
        <f>IF(VLOOKUP(A77,'High Risk Non-Compliant'!B:K,$H$48,FALSE)=0,"N/A",VLOOKUP(A77,'High Risk Non-Compliant'!B:K,$H$48,FALSE))</f>
        <v>#REF!</v>
      </c>
      <c r="H77" s="144" t="e">
        <f>IF(G77="N/A","N/A",VLOOKUP(G77,'Crosswalk Detail'!A:B,2,FALSE))</f>
        <v>#REF!</v>
      </c>
    </row>
    <row r="78" spans="1:8" ht="144" customHeight="1" x14ac:dyDescent="0.2">
      <c r="A78" s="145" t="str">
        <f>'High Risk Non-Compliant'!B34</f>
        <v>AAAI-16</v>
      </c>
      <c r="B78" s="343"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43"/>
      <c r="D78" s="344">
        <f>'High Risk Non-Compliant'!D34</f>
        <v>0</v>
      </c>
      <c r="E78" s="344"/>
      <c r="F78" s="344"/>
      <c r="G78" s="144" t="e">
        <f>IF(VLOOKUP(A78,'High Risk Non-Compliant'!B:K,$H$48,FALSE)=0,"N/A",VLOOKUP(A78,'High Risk Non-Compliant'!B:K,$H$48,FALSE))</f>
        <v>#REF!</v>
      </c>
      <c r="H78" s="144" t="e">
        <f>IF(G78="N/A","N/A",VLOOKUP(G78,'Crosswalk Detail'!A:B,2,FALSE))</f>
        <v>#REF!</v>
      </c>
    </row>
    <row r="79" spans="1:8" ht="144" customHeight="1" x14ac:dyDescent="0.2">
      <c r="A79" s="145" t="str">
        <f>'High Risk Non-Compliant'!B35</f>
        <v>BCPL-01</v>
      </c>
      <c r="B79" s="343" t="str">
        <f>'High Risk Non-Compliant'!C35</f>
        <v>Describe or provide a reference to your Business Continuity Plan (BCP).</v>
      </c>
      <c r="C79" s="343"/>
      <c r="D79" s="344">
        <f>'High Risk Non-Compliant'!D35</f>
        <v>0</v>
      </c>
      <c r="E79" s="344"/>
      <c r="F79" s="344"/>
      <c r="G79" s="144" t="e">
        <f>IF(VLOOKUP(A79,'High Risk Non-Compliant'!B:K,$H$48,FALSE)=0,"N/A",VLOOKUP(A79,'High Risk Non-Compliant'!B:K,$H$48,FALSE))</f>
        <v>#REF!</v>
      </c>
      <c r="H79" s="144" t="e">
        <f>IF(G79="N/A","N/A",VLOOKUP(G79,'Crosswalk Detail'!A:B,2,FALSE))</f>
        <v>#REF!</v>
      </c>
    </row>
    <row r="80" spans="1:8" ht="144" customHeight="1" x14ac:dyDescent="0.2">
      <c r="A80" s="145" t="str">
        <f>'High Risk Non-Compliant'!B36</f>
        <v>BCPL-06</v>
      </c>
      <c r="B80" s="343" t="str">
        <f>'High Risk Non-Compliant'!C36</f>
        <v xml:space="preserve">Are all components of the BCP reviewed at least annually and updated as needed to reflect change? </v>
      </c>
      <c r="C80" s="343"/>
      <c r="D80" s="344">
        <f>'High Risk Non-Compliant'!D36</f>
        <v>0</v>
      </c>
      <c r="E80" s="344"/>
      <c r="F80" s="344"/>
      <c r="G80" s="144" t="e">
        <f>IF(VLOOKUP(A80,'High Risk Non-Compliant'!B:K,$H$48,FALSE)=0,"N/A",VLOOKUP(A80,'High Risk Non-Compliant'!B:K,$H$48,FALSE))</f>
        <v>#REF!</v>
      </c>
      <c r="H80" s="144" t="e">
        <f>IF(G80="N/A","N/A",VLOOKUP(G80,'Crosswalk Detail'!A:B,2,FALSE))</f>
        <v>#REF!</v>
      </c>
    </row>
    <row r="81" spans="1:8" ht="144" customHeight="1" x14ac:dyDescent="0.2">
      <c r="A81" s="145" t="str">
        <f>'High Risk Non-Compliant'!B37</f>
        <v>BCPL-07</v>
      </c>
      <c r="B81" s="343" t="str">
        <f>'High Risk Non-Compliant'!C37</f>
        <v xml:space="preserve">Has your BCP been tested in the last year? </v>
      </c>
      <c r="C81" s="343"/>
      <c r="D81" s="344">
        <f>'High Risk Non-Compliant'!D37</f>
        <v>0</v>
      </c>
      <c r="E81" s="344"/>
      <c r="F81" s="344"/>
      <c r="G81" s="144" t="e">
        <f>IF(VLOOKUP(A81,'High Risk Non-Compliant'!B:K,$H$48,FALSE)=0,"N/A",VLOOKUP(A81,'High Risk Non-Compliant'!B:K,$H$48,FALSE))</f>
        <v>#REF!</v>
      </c>
      <c r="H81" s="144" t="e">
        <f>IF(G81="N/A","N/A",VLOOKUP(G81,'Crosswalk Detail'!A:B,2,FALSE))</f>
        <v>#REF!</v>
      </c>
    </row>
    <row r="82" spans="1:8" ht="144" customHeight="1" x14ac:dyDescent="0.2">
      <c r="A82" s="145" t="str">
        <f>'High Risk Non-Compliant'!B38</f>
        <v>CHNG-01</v>
      </c>
      <c r="B82" s="343" t="str">
        <f>'High Risk Non-Compliant'!C38</f>
        <v xml:space="preserve">Do you have a documented and currently followed change management process (CMP)? </v>
      </c>
      <c r="C82" s="343"/>
      <c r="D82" s="344">
        <f>'High Risk Non-Compliant'!D38</f>
        <v>0</v>
      </c>
      <c r="E82" s="344"/>
      <c r="F82" s="344"/>
      <c r="G82" s="144" t="e">
        <f>IF(VLOOKUP(A82,'High Risk Non-Compliant'!B:K,$H$48,FALSE)=0,"N/A",VLOOKUP(A82,'High Risk Non-Compliant'!B:K,$H$48,FALSE))</f>
        <v>#REF!</v>
      </c>
      <c r="H82" s="144" t="e">
        <f>IF(G82="N/A","N/A",VLOOKUP(G82,'Crosswalk Detail'!A:B,2,FALSE))</f>
        <v>#REF!</v>
      </c>
    </row>
    <row r="83" spans="1:8" ht="144" customHeight="1" x14ac:dyDescent="0.2">
      <c r="A83" s="145" t="str">
        <f>'High Risk Non-Compliant'!B39</f>
        <v>CHNG-05</v>
      </c>
      <c r="B83" s="343" t="str">
        <f>'High Risk Non-Compliant'!C39</f>
        <v>Describe or provide a reference to your solution support strategy in relation to maintaining software currency. (i.e. how many concurrent versions are you willing to run and support?)</v>
      </c>
      <c r="C83" s="343"/>
      <c r="D83" s="344">
        <f>'High Risk Non-Compliant'!D39</f>
        <v>0</v>
      </c>
      <c r="E83" s="344"/>
      <c r="F83" s="344"/>
      <c r="G83" s="144" t="e">
        <f>IF(VLOOKUP(A83,'High Risk Non-Compliant'!B:K,$H$48,FALSE)=0,"N/A",VLOOKUP(A83,'High Risk Non-Compliant'!B:K,$H$48,FALSE))</f>
        <v>#REF!</v>
      </c>
      <c r="H83" s="144" t="e">
        <f>IF(G83="N/A","N/A",VLOOKUP(G83,'Crosswalk Detail'!A:B,2,FALSE))</f>
        <v>#REF!</v>
      </c>
    </row>
    <row r="84" spans="1:8" ht="144" customHeight="1" x14ac:dyDescent="0.2">
      <c r="A84" s="145" t="str">
        <f>'High Risk Non-Compliant'!B40</f>
        <v>CHNG-08</v>
      </c>
      <c r="B84" s="343"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43"/>
      <c r="D84" s="344">
        <f>'High Risk Non-Compliant'!D40</f>
        <v>0</v>
      </c>
      <c r="E84" s="344"/>
      <c r="F84" s="344"/>
      <c r="G84" s="144" t="e">
        <f>IF(VLOOKUP(A84,'High Risk Non-Compliant'!B:K,$H$48,FALSE)=0,"N/A",VLOOKUP(A84,'High Risk Non-Compliant'!B:K,$H$48,FALSE))</f>
        <v>#REF!</v>
      </c>
      <c r="H84" s="144" t="e">
        <f>IF(G84="N/A","N/A",VLOOKUP(G84,'Crosswalk Detail'!A:B,2,FALSE))</f>
        <v>#REF!</v>
      </c>
    </row>
    <row r="85" spans="1:8" ht="144" customHeight="1" x14ac:dyDescent="0.2">
      <c r="A85" s="145" t="str">
        <f>'High Risk Non-Compliant'!B41</f>
        <v>DATA-01</v>
      </c>
      <c r="B85" s="343" t="str">
        <f>'High Risk Non-Compliant'!C41</f>
        <v>Do you physically and logically separate Institution's data from that of other customers?</v>
      </c>
      <c r="C85" s="343"/>
      <c r="D85" s="344">
        <f>'High Risk Non-Compliant'!D41</f>
        <v>0</v>
      </c>
      <c r="E85" s="344"/>
      <c r="F85" s="344"/>
      <c r="G85" s="144" t="e">
        <f>IF(VLOOKUP(A85,'High Risk Non-Compliant'!B:K,$H$48,FALSE)=0,"N/A",VLOOKUP(A85,'High Risk Non-Compliant'!B:K,$H$48,FALSE))</f>
        <v>#REF!</v>
      </c>
      <c r="H85" s="144" t="e">
        <f>IF(G85="N/A","N/A",VLOOKUP(G85,'Crosswalk Detail'!A:B,2,FALSE))</f>
        <v>#REF!</v>
      </c>
    </row>
    <row r="86" spans="1:8" ht="144" customHeight="1" x14ac:dyDescent="0.2">
      <c r="A86" s="145" t="str">
        <f>'High Risk Non-Compliant'!B42</f>
        <v>DATA-03</v>
      </c>
      <c r="B86" s="343" t="str">
        <f>'High Risk Non-Compliant'!C42</f>
        <v>Is sensitive data encrypted in transport? (e.g. system-to-client)</v>
      </c>
      <c r="C86" s="343"/>
      <c r="D86" s="344">
        <f>'High Risk Non-Compliant'!D42</f>
        <v>0</v>
      </c>
      <c r="E86" s="344"/>
      <c r="F86" s="344"/>
      <c r="G86" s="144" t="e">
        <f>IF(VLOOKUP(A86,'High Risk Non-Compliant'!B:K,$H$48,FALSE)=0,"N/A",VLOOKUP(A86,'High Risk Non-Compliant'!B:K,$H$48,FALSE))</f>
        <v>#REF!</v>
      </c>
      <c r="H86" s="144" t="e">
        <f>IF(G86="N/A","N/A",VLOOKUP(G86,'Crosswalk Detail'!A:B,2,FALSE))</f>
        <v>#REF!</v>
      </c>
    </row>
    <row r="87" spans="1:8" ht="144" customHeight="1" x14ac:dyDescent="0.2">
      <c r="A87" s="145" t="str">
        <f>'High Risk Non-Compliant'!B43</f>
        <v>DATA-04</v>
      </c>
      <c r="B87" s="343" t="str">
        <f>'High Risk Non-Compliant'!C43</f>
        <v>Is sensitive data encrypted in storage (e.g. disk encryption, at-rest)?</v>
      </c>
      <c r="C87" s="343"/>
      <c r="D87" s="344">
        <f>'High Risk Non-Compliant'!D43</f>
        <v>0</v>
      </c>
      <c r="E87" s="344"/>
      <c r="F87" s="344"/>
      <c r="G87" s="144" t="e">
        <f>IF(VLOOKUP(A87,'High Risk Non-Compliant'!B:K,$H$48,FALSE)=0,"N/A",VLOOKUP(A87,'High Risk Non-Compliant'!B:K,$H$48,FALSE))</f>
        <v>#REF!</v>
      </c>
      <c r="H87" s="144" t="e">
        <f>IF(G87="N/A","N/A",VLOOKUP(G87,'Crosswalk Detail'!A:B,2,FALSE))</f>
        <v>#REF!</v>
      </c>
    </row>
    <row r="88" spans="1:8" ht="144" customHeight="1" x14ac:dyDescent="0.2">
      <c r="A88" s="145" t="str">
        <f>'High Risk Non-Compliant'!B44</f>
        <v>DATA-05</v>
      </c>
      <c r="B88" s="343" t="str">
        <f>'High Risk Non-Compliant'!C44</f>
        <v>Do you employ or allow any cryptographic modules that do not conform to the Federal Information Processing Standards (FIPS PUB 140-2)?</v>
      </c>
      <c r="C88" s="343"/>
      <c r="D88" s="344">
        <f>'High Risk Non-Compliant'!D44</f>
        <v>0</v>
      </c>
      <c r="E88" s="344"/>
      <c r="F88" s="344"/>
      <c r="G88" s="144" t="e">
        <f>IF(VLOOKUP(A88,'High Risk Non-Compliant'!B:K,$H$48,FALSE)=0,"N/A",VLOOKUP(A88,'High Risk Non-Compliant'!B:K,$H$48,FALSE))</f>
        <v>#REF!</v>
      </c>
      <c r="H88" s="144" t="e">
        <f>IF(G88="N/A","N/A",VLOOKUP(G88,'Crosswalk Detail'!A:B,2,FALSE))</f>
        <v>#REF!</v>
      </c>
    </row>
    <row r="89" spans="1:8" ht="144" customHeight="1" x14ac:dyDescent="0.2">
      <c r="A89" s="145" t="str">
        <f>'High Risk Non-Compliant'!B45</f>
        <v>DATA-06</v>
      </c>
      <c r="B89" s="343" t="str">
        <f>'High Risk Non-Compliant'!C45</f>
        <v>Does your system employ encryption technologies when transmitting sensitive information over TCP/IP networks (e.g., SSH, SSL/TLS, VPN)? (e.g. system-to-system and system-to-client)</v>
      </c>
      <c r="C89" s="343"/>
      <c r="D89" s="344">
        <f>'High Risk Non-Compliant'!D45</f>
        <v>0</v>
      </c>
      <c r="E89" s="344"/>
      <c r="F89" s="344"/>
      <c r="G89" s="144" t="e">
        <f>IF(VLOOKUP(A89,'High Risk Non-Compliant'!B:K,$H$48,FALSE)=0,"N/A",VLOOKUP(A89,'High Risk Non-Compliant'!B:K,$H$48,FALSE))</f>
        <v>#REF!</v>
      </c>
      <c r="H89" s="144" t="e">
        <f>IF(G89="N/A","N/A",VLOOKUP(G89,'Crosswalk Detail'!A:B,2,FALSE))</f>
        <v>#REF!</v>
      </c>
    </row>
    <row r="90" spans="1:8" ht="144" customHeight="1" x14ac:dyDescent="0.2">
      <c r="A90" s="145" t="str">
        <f>'High Risk Non-Compliant'!B46</f>
        <v>DATA-08</v>
      </c>
      <c r="B90" s="343" t="str">
        <f>'High Risk Non-Compliant'!C46</f>
        <v>At the completion of this contract, will data be returned to the institution?</v>
      </c>
      <c r="C90" s="343"/>
      <c r="D90" s="344">
        <f>'High Risk Non-Compliant'!D46</f>
        <v>0</v>
      </c>
      <c r="E90" s="344"/>
      <c r="F90" s="344"/>
      <c r="G90" s="144" t="e">
        <f>IF(VLOOKUP(A90,'High Risk Non-Compliant'!B:K,$H$48,FALSE)=0,"N/A",VLOOKUP(A90,'High Risk Non-Compliant'!B:K,$H$48,FALSE))</f>
        <v>#REF!</v>
      </c>
      <c r="H90" s="144" t="e">
        <f>IF(G90="N/A","N/A",VLOOKUP(G90,'Crosswalk Detail'!A:B,2,FALSE))</f>
        <v>#REF!</v>
      </c>
    </row>
    <row r="91" spans="1:8" ht="144" customHeight="1" x14ac:dyDescent="0.2">
      <c r="A91" s="145" t="str">
        <f>'High Risk Non-Compliant'!B47</f>
        <v>DATA-11</v>
      </c>
      <c r="B91" s="343" t="str">
        <f>'High Risk Non-Compliant'!C47</f>
        <v>Are ownership rights to all data, inputs, outputs, and metadata retained by the institution?</v>
      </c>
      <c r="C91" s="343"/>
      <c r="D91" s="344">
        <f>'High Risk Non-Compliant'!D47</f>
        <v>0</v>
      </c>
      <c r="E91" s="344"/>
      <c r="F91" s="344"/>
      <c r="G91" s="144" t="e">
        <f>IF(VLOOKUP(A91,'High Risk Non-Compliant'!B:K,$H$48,FALSE)=0,"N/A",VLOOKUP(A91,'High Risk Non-Compliant'!B:K,$H$48,FALSE))</f>
        <v>#REF!</v>
      </c>
      <c r="H91" s="144" t="e">
        <f>IF(G91="N/A","N/A",VLOOKUP(G91,'Crosswalk Detail'!A:B,2,FALSE))</f>
        <v>#REF!</v>
      </c>
    </row>
    <row r="92" spans="1:8" ht="144" customHeight="1" x14ac:dyDescent="0.2">
      <c r="A92" s="145" t="str">
        <f>'High Risk Non-Compliant'!B48</f>
        <v>DATA-17</v>
      </c>
      <c r="B92" s="343" t="str">
        <f>'High Risk Non-Compliant'!C48</f>
        <v>Are data backups encrypted?</v>
      </c>
      <c r="C92" s="343"/>
      <c r="D92" s="344">
        <f>'High Risk Non-Compliant'!D48</f>
        <v>0</v>
      </c>
      <c r="E92" s="344"/>
      <c r="F92" s="344"/>
      <c r="G92" s="144" t="e">
        <f>IF(VLOOKUP(A92,'High Risk Non-Compliant'!B:K,$H$48,FALSE)=0,"N/A",VLOOKUP(A92,'High Risk Non-Compliant'!B:K,$H$48,FALSE))</f>
        <v>#REF!</v>
      </c>
      <c r="H92" s="144" t="e">
        <f>IF(G92="N/A","N/A",VLOOKUP(G92,'Crosswalk Detail'!A:B,2,FALSE))</f>
        <v>#REF!</v>
      </c>
    </row>
    <row r="93" spans="1:8" ht="144" customHeight="1" x14ac:dyDescent="0.2">
      <c r="A93" s="145" t="str">
        <f>'High Risk Non-Compliant'!B49</f>
        <v>DATA-23</v>
      </c>
      <c r="B93" s="343" t="str">
        <f>'High Risk Non-Compliant'!C49</f>
        <v>Do you have a media handling process, that is documented and currently implemented, including end-of-life, repurposing, and data sanitization procedures?</v>
      </c>
      <c r="C93" s="343"/>
      <c r="D93" s="344">
        <f>'High Risk Non-Compliant'!D49</f>
        <v>0</v>
      </c>
      <c r="E93" s="344"/>
      <c r="F93" s="344"/>
      <c r="G93" s="144" t="e">
        <f>IF(VLOOKUP(A93,'High Risk Non-Compliant'!B:K,$H$48,FALSE)=0,"N/A",VLOOKUP(A93,'High Risk Non-Compliant'!B:K,$H$48,FALSE))</f>
        <v>#REF!</v>
      </c>
      <c r="H93" s="144" t="e">
        <f>IF(G93="N/A","N/A",VLOOKUP(G93,'Crosswalk Detail'!A:B,2,FALSE))</f>
        <v>#REF!</v>
      </c>
    </row>
    <row r="94" spans="1:8" ht="144" customHeight="1" x14ac:dyDescent="0.2">
      <c r="A94" s="145" t="str">
        <f>'High Risk Non-Compliant'!B50</f>
        <v>DATA-28</v>
      </c>
      <c r="B94" s="343" t="str">
        <f>'High Risk Non-Compliant'!C50</f>
        <v>Is any institution data visible in system administration modules/tools?</v>
      </c>
      <c r="C94" s="343"/>
      <c r="D94" s="344">
        <f>'High Risk Non-Compliant'!D50</f>
        <v>0</v>
      </c>
      <c r="E94" s="344"/>
      <c r="F94" s="344"/>
      <c r="G94" s="144" t="e">
        <f>IF(VLOOKUP(A94,'High Risk Non-Compliant'!B:K,$H$48,FALSE)=0,"N/A",VLOOKUP(A94,'High Risk Non-Compliant'!B:K,$H$48,FALSE))</f>
        <v>#REF!</v>
      </c>
      <c r="H94" s="144" t="e">
        <f>IF(G94="N/A","N/A",VLOOKUP(G94,'Crosswalk Detail'!A:B,2,FALSE))</f>
        <v>#REF!</v>
      </c>
    </row>
    <row r="95" spans="1:8" ht="144" customHeight="1" x14ac:dyDescent="0.2">
      <c r="A95" s="145" t="str">
        <f>'High Risk Non-Compliant'!B51</f>
        <v>DBAS-01</v>
      </c>
      <c r="B95" s="343" t="str">
        <f>'High Risk Non-Compliant'!C51</f>
        <v>Does the database support encryption of specified data elements in storage?</v>
      </c>
      <c r="C95" s="343"/>
      <c r="D95" s="344">
        <f>'High Risk Non-Compliant'!D51</f>
        <v>0</v>
      </c>
      <c r="E95" s="344"/>
      <c r="F95" s="344"/>
      <c r="G95" s="144" t="e">
        <f>IF(VLOOKUP(A95,'High Risk Non-Compliant'!B:K,$H$48,FALSE)=0,"N/A",VLOOKUP(A95,'High Risk Non-Compliant'!B:K,$H$48,FALSE))</f>
        <v>#REF!</v>
      </c>
      <c r="H95" s="144" t="e">
        <f>IF(G95="N/A","N/A",VLOOKUP(G95,'Crosswalk Detail'!A:B,2,FALSE))</f>
        <v>#REF!</v>
      </c>
    </row>
    <row r="96" spans="1:8" ht="144" customHeight="1" x14ac:dyDescent="0.2">
      <c r="A96" s="145" t="str">
        <f>'High Risk Non-Compliant'!B52</f>
        <v>DBAS-02</v>
      </c>
      <c r="B96" s="343" t="str">
        <f>'High Risk Non-Compliant'!C52</f>
        <v>Do you currently use encryption in your database(s)?</v>
      </c>
      <c r="C96" s="343"/>
      <c r="D96" s="344">
        <f>'High Risk Non-Compliant'!D52</f>
        <v>0</v>
      </c>
      <c r="E96" s="344"/>
      <c r="F96" s="344"/>
      <c r="G96" s="144" t="e">
        <f>IF(VLOOKUP(A96,'High Risk Non-Compliant'!B:K,$H$48,FALSE)=0,"N/A",VLOOKUP(A96,'High Risk Non-Compliant'!B:K,$H$48,FALSE))</f>
        <v>#REF!</v>
      </c>
      <c r="H96" s="144" t="e">
        <f>IF(G96="N/A","N/A",VLOOKUP(G96,'Crosswalk Detail'!A:B,2,FALSE))</f>
        <v>#REF!</v>
      </c>
    </row>
    <row r="97" spans="1:8" ht="144" customHeight="1" x14ac:dyDescent="0.2">
      <c r="A97" s="145" t="str">
        <f>'High Risk Non-Compliant'!B53</f>
        <v>DCTR-04</v>
      </c>
      <c r="B97" s="343" t="str">
        <f>'High Risk Non-Compliant'!C53</f>
        <v>Do any of your servers reside in a co-located data center?</v>
      </c>
      <c r="C97" s="343"/>
      <c r="D97" s="344">
        <f>'High Risk Non-Compliant'!D53</f>
        <v>0</v>
      </c>
      <c r="E97" s="344"/>
      <c r="F97" s="344"/>
      <c r="G97" s="144" t="e">
        <f>IF(VLOOKUP(A97,'High Risk Non-Compliant'!B:K,$H$48,FALSE)=0,"N/A",VLOOKUP(A97,'High Risk Non-Compliant'!B:K,$H$48,FALSE))</f>
        <v>#REF!</v>
      </c>
      <c r="H97" s="144" t="e">
        <f>IF(G97="N/A","N/A",VLOOKUP(G97,'Crosswalk Detail'!A:B,2,FALSE))</f>
        <v>#REF!</v>
      </c>
    </row>
    <row r="98" spans="1:8" ht="144" customHeight="1" x14ac:dyDescent="0.2">
      <c r="A98" s="145" t="str">
        <f>'High Risk Non-Compliant'!B54</f>
        <v>DCTR-09</v>
      </c>
      <c r="B98" s="343" t="str">
        <f>'High Risk Non-Compliant'!C54</f>
        <v>Will any institution data leave the Institution's Data Zone?</v>
      </c>
      <c r="C98" s="343"/>
      <c r="D98" s="344">
        <f>'High Risk Non-Compliant'!D54</f>
        <v>0</v>
      </c>
      <c r="E98" s="344"/>
      <c r="F98" s="344"/>
      <c r="G98" s="144" t="e">
        <f>IF(VLOOKUP(A98,'High Risk Non-Compliant'!B:K,$H$48,FALSE)=0,"N/A",VLOOKUP(A98,'High Risk Non-Compliant'!B:K,$H$48,FALSE))</f>
        <v>#REF!</v>
      </c>
      <c r="H98" s="144" t="e">
        <f>IF(G98="N/A","N/A",VLOOKUP(G98,'Crosswalk Detail'!A:B,2,FALSE))</f>
        <v>#REF!</v>
      </c>
    </row>
    <row r="99" spans="1:8" ht="144" customHeight="1" x14ac:dyDescent="0.2">
      <c r="A99" s="145" t="str">
        <f>'High Risk Non-Compliant'!B55</f>
        <v>DRPL-01</v>
      </c>
      <c r="B99" s="343" t="str">
        <f>'High Risk Non-Compliant'!C55</f>
        <v>Describe or provide a reference to your Disaster Recovery Plan (DRP).</v>
      </c>
      <c r="C99" s="343"/>
      <c r="D99" s="344">
        <f>'High Risk Non-Compliant'!D55</f>
        <v>0</v>
      </c>
      <c r="E99" s="344"/>
      <c r="F99" s="344"/>
      <c r="G99" s="144" t="e">
        <f>IF(VLOOKUP(A99,'High Risk Non-Compliant'!B:K,$H$48,FALSE)=0,"N/A",VLOOKUP(A99,'High Risk Non-Compliant'!B:K,$H$48,FALSE))</f>
        <v>#REF!</v>
      </c>
      <c r="H99" s="144" t="e">
        <f>IF(G99="N/A","N/A",VLOOKUP(G99,'Crosswalk Detail'!A:B,2,FALSE))</f>
        <v>#REF!</v>
      </c>
    </row>
    <row r="100" spans="1:8" ht="144" customHeight="1" x14ac:dyDescent="0.2">
      <c r="A100" s="145" t="str">
        <f>'High Risk Non-Compliant'!B56</f>
        <v>DRPL-07</v>
      </c>
      <c r="B100" s="343" t="str">
        <f>'High Risk Non-Compliant'!C56</f>
        <v>Is there a defined problem/issue escalation plan in your DRP for impacted clients?</v>
      </c>
      <c r="C100" s="343"/>
      <c r="D100" s="344">
        <f>'High Risk Non-Compliant'!D56</f>
        <v>0</v>
      </c>
      <c r="E100" s="344"/>
      <c r="F100" s="344"/>
      <c r="G100" s="144" t="e">
        <f>IF(VLOOKUP(A100,'High Risk Non-Compliant'!B:K,$H$48,FALSE)=0,"N/A",VLOOKUP(A100,'High Risk Non-Compliant'!B:K,$H$48,FALSE))</f>
        <v>#REF!</v>
      </c>
      <c r="H100" s="144" t="e">
        <f>IF(G100="N/A","N/A",VLOOKUP(G100,'Crosswalk Detail'!A:B,2,FALSE))</f>
        <v>#REF!</v>
      </c>
    </row>
    <row r="101" spans="1:8" ht="144" customHeight="1" x14ac:dyDescent="0.2">
      <c r="A101" s="145" t="str">
        <f>'High Risk Non-Compliant'!B57</f>
        <v>FIDP-01</v>
      </c>
      <c r="B101" s="343" t="str">
        <f>'High Risk Non-Compliant'!C57</f>
        <v>Are you utilizing a web application firewall (WAF)?</v>
      </c>
      <c r="C101" s="343"/>
      <c r="D101" s="344">
        <f>'High Risk Non-Compliant'!D57</f>
        <v>0</v>
      </c>
      <c r="E101" s="344"/>
      <c r="F101" s="344"/>
      <c r="G101" s="144" t="e">
        <f>IF(VLOOKUP(A101,'High Risk Non-Compliant'!B:K,$H$48,FALSE)=0,"N/A",VLOOKUP(A101,'High Risk Non-Compliant'!B:K,$H$48,FALSE))</f>
        <v>#REF!</v>
      </c>
      <c r="H101" s="144" t="e">
        <f>IF(G101="N/A","N/A",VLOOKUP(G101,'Crosswalk Detail'!A:B,2,FALSE))</f>
        <v>#REF!</v>
      </c>
    </row>
    <row r="102" spans="1:8" ht="144" customHeight="1" x14ac:dyDescent="0.2">
      <c r="A102" s="145" t="str">
        <f>'High Risk Non-Compliant'!B58</f>
        <v>FIDP-02</v>
      </c>
      <c r="B102" s="343" t="str">
        <f>'High Risk Non-Compliant'!C58</f>
        <v>Are you utilizing a stateful packet inspection (SPI) firewall?</v>
      </c>
      <c r="C102" s="343"/>
      <c r="D102" s="344">
        <f>'High Risk Non-Compliant'!D58</f>
        <v>0</v>
      </c>
      <c r="E102" s="344"/>
      <c r="F102" s="344"/>
      <c r="G102" s="144" t="e">
        <f>IF(VLOOKUP(A102,'High Risk Non-Compliant'!B:K,$H$48,FALSE)=0,"N/A",VLOOKUP(A102,'High Risk Non-Compliant'!B:K,$H$48,FALSE))</f>
        <v>#REF!</v>
      </c>
      <c r="H102" s="144" t="e">
        <f>IF(G102="N/A","N/A",VLOOKUP(G102,'Crosswalk Detail'!A:B,2,FALSE))</f>
        <v>#REF!</v>
      </c>
    </row>
    <row r="103" spans="1:8" ht="144" customHeight="1" x14ac:dyDescent="0.2">
      <c r="A103" s="145" t="str">
        <f>'High Risk Non-Compliant'!B59</f>
        <v>FIDP-04</v>
      </c>
      <c r="B103" s="343" t="str">
        <f>'High Risk Non-Compliant'!C59</f>
        <v>Do you have a documented policy for firewall change requests?</v>
      </c>
      <c r="C103" s="343"/>
      <c r="D103" s="344">
        <f>'High Risk Non-Compliant'!D59</f>
        <v>0</v>
      </c>
      <c r="E103" s="344"/>
      <c r="F103" s="344"/>
      <c r="G103" s="144" t="e">
        <f>IF(VLOOKUP(A103,'High Risk Non-Compliant'!B:K,$H$48,FALSE)=0,"N/A",VLOOKUP(A103,'High Risk Non-Compliant'!B:K,$H$48,FALSE))</f>
        <v>#REF!</v>
      </c>
      <c r="H103" s="144" t="e">
        <f>IF(G103="N/A","N/A",VLOOKUP(G103,'Crosswalk Detail'!A:B,2,FALSE))</f>
        <v>#REF!</v>
      </c>
    </row>
    <row r="104" spans="1:8" ht="144" customHeight="1" x14ac:dyDescent="0.2">
      <c r="A104" s="145" t="str">
        <f>'High Risk Non-Compliant'!B60</f>
        <v>FIDP-05</v>
      </c>
      <c r="B104" s="343" t="str">
        <f>'High Risk Non-Compliant'!C60</f>
        <v>Have you implemented an Intrusion Detection System (network-based)?</v>
      </c>
      <c r="C104" s="343"/>
      <c r="D104" s="344">
        <f>'High Risk Non-Compliant'!D60</f>
        <v>0</v>
      </c>
      <c r="E104" s="344"/>
      <c r="F104" s="344"/>
      <c r="G104" s="144" t="e">
        <f>IF(VLOOKUP(A104,'High Risk Non-Compliant'!B:K,$H$48,FALSE)=0,"N/A",VLOOKUP(A104,'High Risk Non-Compliant'!B:K,$H$48,FALSE))</f>
        <v>#REF!</v>
      </c>
      <c r="H104" s="144" t="e">
        <f>IF(G104="N/A","N/A",VLOOKUP(G104,'Crosswalk Detail'!A:B,2,FALSE))</f>
        <v>#REF!</v>
      </c>
    </row>
    <row r="105" spans="1:8" ht="144" customHeight="1" x14ac:dyDescent="0.2">
      <c r="A105" s="145" t="str">
        <f>'High Risk Non-Compliant'!B61</f>
        <v>FIDP-07</v>
      </c>
      <c r="B105" s="343" t="str">
        <f>'High Risk Non-Compliant'!C61</f>
        <v>Do you employ host-based intrusion detection?</v>
      </c>
      <c r="C105" s="343"/>
      <c r="D105" s="344">
        <f>'High Risk Non-Compliant'!D61</f>
        <v>0</v>
      </c>
      <c r="E105" s="344"/>
      <c r="F105" s="344"/>
      <c r="G105" s="144" t="e">
        <f>IF(VLOOKUP(A105,'High Risk Non-Compliant'!B:K,$H$48,FALSE)=0,"N/A",VLOOKUP(A105,'High Risk Non-Compliant'!B:K,$H$48,FALSE))</f>
        <v>#REF!</v>
      </c>
      <c r="H105" s="144" t="e">
        <f>IF(G105="N/A","N/A",VLOOKUP(G105,'Crosswalk Detail'!A:B,2,FALSE))</f>
        <v>#REF!</v>
      </c>
    </row>
    <row r="106" spans="1:8" ht="144" customHeight="1" x14ac:dyDescent="0.2">
      <c r="A106" s="145" t="str">
        <f>'High Risk Non-Compliant'!B62</f>
        <v>FIDP-12</v>
      </c>
      <c r="B106" s="343" t="str">
        <f>'High Risk Non-Compliant'!C62</f>
        <v>Are audit logs available for all changes to the network, firewall, IDS, and IPS systems?</v>
      </c>
      <c r="C106" s="343"/>
      <c r="D106" s="344">
        <f>'High Risk Non-Compliant'!D62</f>
        <v>0</v>
      </c>
      <c r="E106" s="344"/>
      <c r="F106" s="344"/>
      <c r="G106" s="144" t="e">
        <f>IF(VLOOKUP(A106,'High Risk Non-Compliant'!B:K,$H$48,FALSE)=0,"N/A",VLOOKUP(A106,'High Risk Non-Compliant'!B:K,$H$48,FALSE))</f>
        <v>#REF!</v>
      </c>
      <c r="H106" s="144" t="e">
        <f>IF(G106="N/A","N/A",VLOOKUP(G106,'Crosswalk Detail'!A:B,2,FALSE))</f>
        <v>#REF!</v>
      </c>
    </row>
    <row r="107" spans="1:8" ht="144" customHeight="1" x14ac:dyDescent="0.2">
      <c r="A107" s="145" t="str">
        <f>'High Risk Non-Compliant'!B63</f>
        <v>MAPP-03</v>
      </c>
      <c r="B107" s="343" t="str">
        <f>'High Risk Non-Compliant'!C63</f>
        <v>Is the application available from a trusted source (e.g., iTunes App Store, Android Market, BB World)?</v>
      </c>
      <c r="C107" s="343"/>
      <c r="D107" s="344">
        <f>'High Risk Non-Compliant'!D63</f>
        <v>0</v>
      </c>
      <c r="E107" s="344"/>
      <c r="F107" s="344"/>
      <c r="G107" s="144" t="e">
        <f>IF(VLOOKUP(A107,'High Risk Non-Compliant'!B:K,$H$48,FALSE)=0,"N/A",VLOOKUP(A107,'High Risk Non-Compliant'!B:K,$H$48,FALSE))</f>
        <v>#REF!</v>
      </c>
      <c r="H107" s="144" t="e">
        <f>IF(G107="N/A","N/A",VLOOKUP(G107,'Crosswalk Detail'!A:B,2,FALSE))</f>
        <v>#REF!</v>
      </c>
    </row>
    <row r="108" spans="1:8" ht="144" customHeight="1" x14ac:dyDescent="0.2">
      <c r="A108" s="145" t="str">
        <f>'High Risk Non-Compliant'!B64</f>
        <v>MAPP-05</v>
      </c>
      <c r="B108" s="343" t="str">
        <f>'High Risk Non-Compliant'!C64</f>
        <v>Is Institution's data encrypted in transport?</v>
      </c>
      <c r="C108" s="343"/>
      <c r="D108" s="344">
        <f>'High Risk Non-Compliant'!D64</f>
        <v>0</v>
      </c>
      <c r="E108" s="344"/>
      <c r="F108" s="344"/>
      <c r="G108" s="144" t="e">
        <f>IF(VLOOKUP(A108,'High Risk Non-Compliant'!B:K,$H$48,FALSE)=0,"N/A",VLOOKUP(A108,'High Risk Non-Compliant'!B:K,$H$48,FALSE))</f>
        <v>#REF!</v>
      </c>
      <c r="H108" s="144" t="e">
        <f>IF(G108="N/A","N/A",VLOOKUP(G108,'Crosswalk Detail'!A:B,2,FALSE))</f>
        <v>#REF!</v>
      </c>
    </row>
    <row r="109" spans="1:8" ht="144" customHeight="1" x14ac:dyDescent="0.2">
      <c r="A109" s="145" t="str">
        <f>'High Risk Non-Compliant'!B65</f>
        <v>MAPP-06</v>
      </c>
      <c r="B109" s="343" t="str">
        <f>'High Risk Non-Compliant'!C65</f>
        <v>Is Institution's data encrypted in storage? (e.g. disk encryption, at-rest)</v>
      </c>
      <c r="C109" s="343"/>
      <c r="D109" s="344">
        <f>'High Risk Non-Compliant'!D65</f>
        <v>0</v>
      </c>
      <c r="E109" s="344"/>
      <c r="F109" s="344"/>
      <c r="G109" s="144" t="e">
        <f>IF(VLOOKUP(A109,'High Risk Non-Compliant'!B:K,$H$48,FALSE)=0,"N/A",VLOOKUP(A109,'High Risk Non-Compliant'!B:K,$H$48,FALSE))</f>
        <v>#REF!</v>
      </c>
      <c r="H109" s="144" t="e">
        <f>IF(G109="N/A","N/A",VLOOKUP(G109,'Crosswalk Detail'!A:B,2,FALSE))</f>
        <v>#REF!</v>
      </c>
    </row>
    <row r="110" spans="1:8" ht="144" customHeight="1" x14ac:dyDescent="0.2">
      <c r="A110" s="145" t="str">
        <f>'High Risk Non-Compliant'!B66</f>
        <v>MAPP-07</v>
      </c>
      <c r="B110" s="343" t="str">
        <f>'High Risk Non-Compliant'!C66</f>
        <v>Does the mobile application support Kerberos, CAS, or Active Directory authentication?</v>
      </c>
      <c r="C110" s="343"/>
      <c r="D110" s="344">
        <f>'High Risk Non-Compliant'!D66</f>
        <v>0</v>
      </c>
      <c r="E110" s="344"/>
      <c r="F110" s="344"/>
      <c r="G110" s="144" t="e">
        <f>IF(VLOOKUP(A110,'High Risk Non-Compliant'!B:K,$H$48,FALSE)=0,"N/A",VLOOKUP(A110,'High Risk Non-Compliant'!B:K,$H$48,FALSE))</f>
        <v>#REF!</v>
      </c>
      <c r="H110" s="144" t="e">
        <f>IF(G110="N/A","N/A",VLOOKUP(G110,'Crosswalk Detail'!A:B,2,FALSE))</f>
        <v>#REF!</v>
      </c>
    </row>
    <row r="111" spans="1:8" ht="144" customHeight="1" x14ac:dyDescent="0.2">
      <c r="A111" s="145" t="str">
        <f>'High Risk Non-Compliant'!B67</f>
        <v>MAPP-09</v>
      </c>
      <c r="B111" s="343" t="str">
        <f>'High Risk Non-Compliant'!C67</f>
        <v>Does the application adhere to secure coding practices (e.g. OWASP, etc.)?</v>
      </c>
      <c r="C111" s="343"/>
      <c r="D111" s="344">
        <f>'High Risk Non-Compliant'!D67</f>
        <v>0</v>
      </c>
      <c r="E111" s="344"/>
      <c r="F111" s="344"/>
      <c r="G111" s="144" t="e">
        <f>IF(VLOOKUP(A111,'High Risk Non-Compliant'!B:K,$H$48,FALSE)=0,"N/A",VLOOKUP(A111,'High Risk Non-Compliant'!B:K,$H$48,FALSE))</f>
        <v>#REF!</v>
      </c>
      <c r="H111" s="144" t="e">
        <f>IF(G111="N/A","N/A",VLOOKUP(G111,'Crosswalk Detail'!A:B,2,FALSE))</f>
        <v>#REF!</v>
      </c>
    </row>
    <row r="112" spans="1:8" ht="144" customHeight="1" x14ac:dyDescent="0.2">
      <c r="A112" s="145" t="str">
        <f>'High Risk Non-Compliant'!B68</f>
        <v>MAPP-10</v>
      </c>
      <c r="B112" s="343" t="str">
        <f>'High Risk Non-Compliant'!C68</f>
        <v>Has the application been tested for vulnerabilities by a third party?</v>
      </c>
      <c r="C112" s="343"/>
      <c r="D112" s="344">
        <f>'High Risk Non-Compliant'!D68</f>
        <v>0</v>
      </c>
      <c r="E112" s="344"/>
      <c r="F112" s="344"/>
      <c r="G112" s="144" t="e">
        <f>IF(VLOOKUP(A112,'High Risk Non-Compliant'!B:K,$H$48,FALSE)=0,"N/A",VLOOKUP(A112,'High Risk Non-Compliant'!B:K,$H$48,FALSE))</f>
        <v>#REF!</v>
      </c>
      <c r="H112" s="144" t="e">
        <f>IF(G112="N/A","N/A",VLOOKUP(G112,'Crosswalk Detail'!A:B,2,FALSE))</f>
        <v>#REF!</v>
      </c>
    </row>
    <row r="113" spans="1:8" ht="144" customHeight="1" x14ac:dyDescent="0.2">
      <c r="A113" s="145" t="str">
        <f>'High Risk Non-Compliant'!B69</f>
        <v>MAPP-11</v>
      </c>
      <c r="B113" s="343" t="str">
        <f>'High Risk Non-Compliant'!C69</f>
        <v>State the party that performed the vulnerability test and the date it was conducted?</v>
      </c>
      <c r="C113" s="343"/>
      <c r="D113" s="344">
        <f>'High Risk Non-Compliant'!D69</f>
        <v>0</v>
      </c>
      <c r="E113" s="344"/>
      <c r="F113" s="344"/>
      <c r="G113" s="144" t="e">
        <f>IF(VLOOKUP(A113,'High Risk Non-Compliant'!B:K,$H$48,FALSE)=0,"N/A",VLOOKUP(A113,'High Risk Non-Compliant'!B:K,$H$48,FALSE))</f>
        <v>#REF!</v>
      </c>
      <c r="H113" s="144" t="e">
        <f>IF(G113="N/A","N/A",VLOOKUP(G113,'Crosswalk Detail'!A:B,2,FALSE))</f>
        <v>#REF!</v>
      </c>
    </row>
    <row r="114" spans="1:8" ht="144" customHeight="1" x14ac:dyDescent="0.2">
      <c r="A114" s="145" t="str">
        <f>'High Risk Non-Compliant'!B70</f>
        <v>PHYS-02</v>
      </c>
      <c r="B114" s="343" t="str">
        <f>'High Risk Non-Compliant'!C70</f>
        <v>Are employees allowed to take home Institution's data in any form?</v>
      </c>
      <c r="C114" s="343"/>
      <c r="D114" s="344">
        <f>'High Risk Non-Compliant'!D70</f>
        <v>0</v>
      </c>
      <c r="E114" s="344"/>
      <c r="F114" s="344"/>
      <c r="G114" s="144" t="e">
        <f>IF(VLOOKUP(A114,'High Risk Non-Compliant'!B:K,$H$48,FALSE)=0,"N/A",VLOOKUP(A114,'High Risk Non-Compliant'!B:K,$H$48,FALSE))</f>
        <v>#REF!</v>
      </c>
      <c r="H114" s="144" t="e">
        <f>IF(G114="N/A","N/A",VLOOKUP(G114,'Crosswalk Detail'!A:B,2,FALSE))</f>
        <v>#REF!</v>
      </c>
    </row>
    <row r="115" spans="1:8" ht="144" customHeight="1" x14ac:dyDescent="0.2">
      <c r="A115" s="145" t="str">
        <f>'High Risk Non-Compliant'!B71</f>
        <v>PPPR-02</v>
      </c>
      <c r="B115" s="343" t="str">
        <f>'High Risk Non-Compliant'!C71</f>
        <v>Do you have a documented patch management process?</v>
      </c>
      <c r="C115" s="343"/>
      <c r="D115" s="344">
        <f>'High Risk Non-Compliant'!D71</f>
        <v>0</v>
      </c>
      <c r="E115" s="344"/>
      <c r="F115" s="344"/>
      <c r="G115" s="144" t="e">
        <f>IF(VLOOKUP(A115,'High Risk Non-Compliant'!B:K,$H$48,FALSE)=0,"N/A",VLOOKUP(A115,'High Risk Non-Compliant'!B:K,$H$48,FALSE))</f>
        <v>#REF!</v>
      </c>
      <c r="H115" s="144" t="e">
        <f>IF(G115="N/A","N/A",VLOOKUP(G115,'Crosswalk Detail'!A:B,2,FALSE))</f>
        <v>#REF!</v>
      </c>
    </row>
    <row r="116" spans="1:8" ht="144" customHeight="1" x14ac:dyDescent="0.2">
      <c r="A116" s="145" t="str">
        <f>'High Risk Non-Compliant'!B72</f>
        <v>PPPR-04</v>
      </c>
      <c r="B116" s="343" t="str">
        <f>'High Risk Non-Compliant'!C72</f>
        <v>Have your developers been trained in secure coding techniques?</v>
      </c>
      <c r="C116" s="343"/>
      <c r="D116" s="344">
        <f>'High Risk Non-Compliant'!D72</f>
        <v>0</v>
      </c>
      <c r="E116" s="344"/>
      <c r="F116" s="344"/>
      <c r="G116" s="144" t="e">
        <f>IF(VLOOKUP(A116,'High Risk Non-Compliant'!B:K,$H$48,FALSE)=0,"N/A",VLOOKUP(A116,'High Risk Non-Compliant'!B:K,$H$48,FALSE))</f>
        <v>#REF!</v>
      </c>
      <c r="H116" s="144" t="e">
        <f>IF(G116="N/A","N/A",VLOOKUP(G116,'Crosswalk Detail'!A:B,2,FALSE))</f>
        <v>#REF!</v>
      </c>
    </row>
    <row r="117" spans="1:8" ht="144" customHeight="1" x14ac:dyDescent="0.2">
      <c r="A117" s="145" t="str">
        <f>'High Risk Non-Compliant'!B73</f>
        <v>PPPR-06</v>
      </c>
      <c r="B117" s="343" t="str">
        <f>'High Risk Non-Compliant'!C73</f>
        <v>Do you subject your code to static code analysis and/or static application security testing prior to release?</v>
      </c>
      <c r="C117" s="343"/>
      <c r="D117" s="344">
        <f>'High Risk Non-Compliant'!D73</f>
        <v>0</v>
      </c>
      <c r="E117" s="344"/>
      <c r="F117" s="344"/>
      <c r="G117" s="144" t="e">
        <f>IF(VLOOKUP(A117,'High Risk Non-Compliant'!B:K,$H$48,FALSE)=0,"N/A",VLOOKUP(A117,'High Risk Non-Compliant'!B:K,$H$48,FALSE))</f>
        <v>#REF!</v>
      </c>
      <c r="H117" s="144" t="e">
        <f>IF(G117="N/A","N/A",VLOOKUP(G117,'Crosswalk Detail'!A:B,2,FALSE))</f>
        <v>#REF!</v>
      </c>
    </row>
    <row r="118" spans="1:8" ht="144" customHeight="1" x14ac:dyDescent="0.2">
      <c r="A118" s="145" t="str">
        <f>'High Risk Non-Compliant'!B74</f>
        <v>PPPR-10</v>
      </c>
      <c r="B118" s="343" t="str">
        <f>'High Risk Non-Compliant'!C74</f>
        <v>Do you have a formal incident response plan?</v>
      </c>
      <c r="C118" s="343"/>
      <c r="D118" s="344">
        <f>'High Risk Non-Compliant'!D74</f>
        <v>0</v>
      </c>
      <c r="E118" s="344"/>
      <c r="F118" s="344"/>
      <c r="G118" s="144" t="e">
        <f>IF(VLOOKUP(A118,'High Risk Non-Compliant'!B:K,$H$48,FALSE)=0,"N/A",VLOOKUP(A118,'High Risk Non-Compliant'!B:K,$H$48,FALSE))</f>
        <v>#REF!</v>
      </c>
      <c r="H118" s="144" t="e">
        <f>IF(G118="N/A","N/A",VLOOKUP(G118,'Crosswalk Detail'!A:B,2,FALSE))</f>
        <v>#REF!</v>
      </c>
    </row>
    <row r="119" spans="1:8" ht="144" customHeight="1" x14ac:dyDescent="0.2">
      <c r="A119" s="145" t="str">
        <f>'High Risk Non-Compliant'!B75</f>
        <v>PPPR-11</v>
      </c>
      <c r="B119" s="343" t="str">
        <f>'High Risk Non-Compliant'!C75</f>
        <v>Will you comply with applicable breach notification laws?</v>
      </c>
      <c r="C119" s="343"/>
      <c r="D119" s="344">
        <f>'High Risk Non-Compliant'!D75</f>
        <v>0</v>
      </c>
      <c r="E119" s="344"/>
      <c r="F119" s="344"/>
      <c r="G119" s="144" t="e">
        <f>IF(VLOOKUP(A119,'High Risk Non-Compliant'!B:K,$H$48,FALSE)=0,"N/A",VLOOKUP(A119,'High Risk Non-Compliant'!B:K,$H$48,FALSE))</f>
        <v>#REF!</v>
      </c>
      <c r="H119" s="144" t="e">
        <f>IF(G119="N/A","N/A",VLOOKUP(G119,'Crosswalk Detail'!A:B,2,FALSE))</f>
        <v>#REF!</v>
      </c>
    </row>
    <row r="120" spans="1:8" ht="144" customHeight="1" x14ac:dyDescent="0.2">
      <c r="A120" s="145" t="str">
        <f>'High Risk Non-Compliant'!B76</f>
        <v>PPPR-16</v>
      </c>
      <c r="B120" s="343" t="str">
        <f>'High Risk Non-Compliant'!C76</f>
        <v>Do you have documented information security policy?</v>
      </c>
      <c r="C120" s="343"/>
      <c r="D120" s="344">
        <f>'High Risk Non-Compliant'!D76</f>
        <v>0</v>
      </c>
      <c r="E120" s="344"/>
      <c r="F120" s="344"/>
      <c r="G120" s="144" t="e">
        <f>IF(VLOOKUP(A120,'High Risk Non-Compliant'!B:K,$H$48,FALSE)=0,"N/A",VLOOKUP(A120,'High Risk Non-Compliant'!B:K,$H$48,FALSE))</f>
        <v>#REF!</v>
      </c>
      <c r="H120" s="144" t="e">
        <f>IF(G120="N/A","N/A",VLOOKUP(G120,'Crosswalk Detail'!A:B,2,FALSE))</f>
        <v>#REF!</v>
      </c>
    </row>
    <row r="121" spans="1:8" ht="144" customHeight="1" x14ac:dyDescent="0.2">
      <c r="A121" s="145" t="str">
        <f>'High Risk Non-Compliant'!B77</f>
        <v>PPPR-17</v>
      </c>
      <c r="B121" s="343" t="str">
        <f>'High Risk Non-Compliant'!C77</f>
        <v>Do you have an information security awareness program?</v>
      </c>
      <c r="C121" s="343"/>
      <c r="D121" s="344">
        <f>'High Risk Non-Compliant'!D77</f>
        <v>0</v>
      </c>
      <c r="E121" s="344"/>
      <c r="F121" s="344"/>
      <c r="G121" s="144" t="e">
        <f>IF(VLOOKUP(A121,'High Risk Non-Compliant'!B:K,$H$48,FALSE)=0,"N/A",VLOOKUP(A121,'High Risk Non-Compliant'!B:K,$H$48,FALSE))</f>
        <v>#REF!</v>
      </c>
      <c r="H121" s="144" t="e">
        <f>IF(G121="N/A","N/A",VLOOKUP(G121,'Crosswalk Detail'!A:B,2,FALSE))</f>
        <v>#REF!</v>
      </c>
    </row>
    <row r="122" spans="1:8" ht="144" customHeight="1" x14ac:dyDescent="0.2">
      <c r="A122" s="145" t="str">
        <f>'High Risk Non-Compliant'!B78</f>
        <v>SYST-01</v>
      </c>
      <c r="B122" s="343" t="str">
        <f>'High Risk Non-Compliant'!C78</f>
        <v>Are systems that support this service managed via a separate management network?</v>
      </c>
      <c r="C122" s="343"/>
      <c r="D122" s="344">
        <f>'High Risk Non-Compliant'!D78</f>
        <v>0</v>
      </c>
      <c r="E122" s="344"/>
      <c r="F122" s="344"/>
      <c r="G122" s="144" t="e">
        <f>IF(VLOOKUP(A122,'High Risk Non-Compliant'!B:K,$H$48,FALSE)=0,"N/A",VLOOKUP(A122,'High Risk Non-Compliant'!B:K,$H$48,FALSE))</f>
        <v>#REF!</v>
      </c>
      <c r="H122" s="144" t="e">
        <f>IF(G122="N/A","N/A",VLOOKUP(G122,'Crosswalk Detail'!A:B,2,FALSE))</f>
        <v>#REF!</v>
      </c>
    </row>
    <row r="123" spans="1:8" ht="144" customHeight="1" x14ac:dyDescent="0.2">
      <c r="A123" s="145" t="str">
        <f>'High Risk Non-Compliant'!B79</f>
        <v>VULN-01</v>
      </c>
      <c r="B123" s="343" t="str">
        <f>'High Risk Non-Compliant'!C79</f>
        <v>Are your applications scanned externally for vulnerabilities?</v>
      </c>
      <c r="C123" s="343"/>
      <c r="D123" s="344">
        <f>'High Risk Non-Compliant'!D79</f>
        <v>0</v>
      </c>
      <c r="E123" s="344"/>
      <c r="F123" s="344"/>
      <c r="G123" s="144" t="e">
        <f>IF(VLOOKUP(A123,'High Risk Non-Compliant'!B:K,$H$48,FALSE)=0,"N/A",VLOOKUP(A123,'High Risk Non-Compliant'!B:K,$H$48,FALSE))</f>
        <v>#REF!</v>
      </c>
      <c r="H123" s="144" t="e">
        <f>IF(G123="N/A","N/A",VLOOKUP(G123,'Crosswalk Detail'!A:B,2,FALSE))</f>
        <v>#REF!</v>
      </c>
    </row>
    <row r="124" spans="1:8" ht="144" customHeight="1" x14ac:dyDescent="0.2">
      <c r="A124" s="145" t="str">
        <f>'High Risk Non-Compliant'!B80</f>
        <v>VULN-04</v>
      </c>
      <c r="B124" s="343" t="str">
        <f>'High Risk Non-Compliant'!C80</f>
        <v>Are your systems scanned externally for vulnerabilities?</v>
      </c>
      <c r="C124" s="343"/>
      <c r="D124" s="344">
        <f>'High Risk Non-Compliant'!D80</f>
        <v>0</v>
      </c>
      <c r="E124" s="344"/>
      <c r="F124" s="344"/>
      <c r="G124" s="144" t="e">
        <f>IF(VLOOKUP(A124,'High Risk Non-Compliant'!B:K,$H$48,FALSE)=0,"N/A",VLOOKUP(A124,'High Risk Non-Compliant'!B:K,$H$48,FALSE))</f>
        <v>#REF!</v>
      </c>
      <c r="H124" s="144" t="e">
        <f>IF(G124="N/A","N/A",VLOOKUP(G124,'Crosswalk Detail'!A:B,2,FALSE))</f>
        <v>#REF!</v>
      </c>
    </row>
    <row r="125" spans="1:8" ht="144" customHeight="1" x14ac:dyDescent="0.2">
      <c r="A125" s="145" t="str">
        <f>'High Risk Non-Compliant'!B81</f>
        <v>VULN-05</v>
      </c>
      <c r="B125" s="343" t="str">
        <f>'High Risk Non-Compliant'!C81</f>
        <v>Have your systems had an external vulnerability assessment in the last year?</v>
      </c>
      <c r="C125" s="343"/>
      <c r="D125" s="344">
        <f>'High Risk Non-Compliant'!D81</f>
        <v>0</v>
      </c>
      <c r="E125" s="344"/>
      <c r="F125" s="344"/>
      <c r="G125" s="144" t="e">
        <f>IF(VLOOKUP(A125,'High Risk Non-Compliant'!B:K,$H$48,FALSE)=0,"N/A",VLOOKUP(A125,'High Risk Non-Compliant'!B:K,$H$48,FALSE))</f>
        <v>#REF!</v>
      </c>
      <c r="H125" s="144" t="e">
        <f>IF(G125="N/A","N/A",VLOOKUP(G125,'Crosswalk Detail'!A:B,2,FALSE))</f>
        <v>#REF!</v>
      </c>
    </row>
    <row r="126" spans="1:8" ht="144" customHeight="1" x14ac:dyDescent="0.2">
      <c r="A126" s="145" t="str">
        <f>'High Risk Non-Compliant'!B82</f>
        <v>VULN-09</v>
      </c>
      <c r="B126" s="343" t="str">
        <f>'High Risk Non-Compliant'!C82</f>
        <v>Will you allow the institution to perform its own security testing of your systems and/or application provided that testing is performed at a mutually agreed upon time and date?</v>
      </c>
      <c r="C126" s="343"/>
      <c r="D126" s="344">
        <f>'High Risk Non-Compliant'!D82</f>
        <v>0</v>
      </c>
      <c r="E126" s="344"/>
      <c r="F126" s="344"/>
      <c r="G126" s="144" t="e">
        <f>IF(VLOOKUP(A126,'High Risk Non-Compliant'!B:K,$H$48,FALSE)=0,"N/A",VLOOKUP(A126,'High Risk Non-Compliant'!B:K,$H$48,FALSE))</f>
        <v>#REF!</v>
      </c>
      <c r="H126" s="144" t="e">
        <f>IF(G126="N/A","N/A",VLOOKUP(G126,'Crosswalk Detail'!A:B,2,FALSE))</f>
        <v>#REF!</v>
      </c>
    </row>
    <row r="127" spans="1:8" ht="144" customHeight="1" x14ac:dyDescent="0.2">
      <c r="A127" s="145" t="str">
        <f>'High Risk Non-Compliant'!B83</f>
        <v>HIPA-03</v>
      </c>
      <c r="B127" s="343" t="str">
        <f>'High Risk Non-Compliant'!C83</f>
        <v>Has your organization designated HIPAA Privacy and Security officers as required by the Rules?</v>
      </c>
      <c r="C127" s="343"/>
      <c r="D127" s="344">
        <f>'High Risk Non-Compliant'!D83</f>
        <v>0</v>
      </c>
      <c r="E127" s="344"/>
      <c r="F127" s="344"/>
      <c r="G127" s="144" t="e">
        <f>IF(VLOOKUP(A127,'High Risk Non-Compliant'!B:K,$H$48,FALSE)=0,"N/A",VLOOKUP(A127,'High Risk Non-Compliant'!B:K,$H$48,FALSE))</f>
        <v>#REF!</v>
      </c>
      <c r="H127" s="144" t="e">
        <f>IF(G127="N/A","N/A",VLOOKUP(G127,'Crosswalk Detail'!A:B,2,FALSE))</f>
        <v>#REF!</v>
      </c>
    </row>
    <row r="128" spans="1:8" ht="144" customHeight="1" x14ac:dyDescent="0.2">
      <c r="A128" s="145" t="str">
        <f>'High Risk Non-Compliant'!B84</f>
        <v>HIPA-04</v>
      </c>
      <c r="B128" s="343" t="str">
        <f>'High Risk Non-Compliant'!C84</f>
        <v>Do you comply with the requirements of the Health Information Technology for Economic and Clinical Health Act (HITECH)?</v>
      </c>
      <c r="C128" s="343"/>
      <c r="D128" s="344">
        <f>'High Risk Non-Compliant'!D84</f>
        <v>0</v>
      </c>
      <c r="E128" s="344"/>
      <c r="F128" s="344"/>
      <c r="G128" s="144" t="e">
        <f>IF(VLOOKUP(A128,'High Risk Non-Compliant'!B:K,$H$48,FALSE)=0,"N/A",VLOOKUP(A128,'High Risk Non-Compliant'!B:K,$H$48,FALSE))</f>
        <v>#REF!</v>
      </c>
      <c r="H128" s="144" t="e">
        <f>IF(G128="N/A","N/A",VLOOKUP(G128,'Crosswalk Detail'!A:B,2,FALSE))</f>
        <v>#REF!</v>
      </c>
    </row>
    <row r="129" spans="1:8" ht="144" customHeight="1" x14ac:dyDescent="0.2">
      <c r="A129" s="145" t="str">
        <f>'High Risk Non-Compliant'!B85</f>
        <v>HIPA-06</v>
      </c>
      <c r="B129" s="343" t="str">
        <f>'High Risk Non-Compliant'!C85</f>
        <v>Do you have a plan to comply with the Breach Notification requirements if there is a breach of data?</v>
      </c>
      <c r="C129" s="343"/>
      <c r="D129" s="344">
        <f>'High Risk Non-Compliant'!D85</f>
        <v>0</v>
      </c>
      <c r="E129" s="344"/>
      <c r="F129" s="344"/>
      <c r="G129" s="144" t="e">
        <f>IF(VLOOKUP(A129,'High Risk Non-Compliant'!B:K,$H$48,FALSE)=0,"N/A",VLOOKUP(A129,'High Risk Non-Compliant'!B:K,$H$48,FALSE))</f>
        <v>#REF!</v>
      </c>
      <c r="H129" s="144" t="e">
        <f>IF(G129="N/A","N/A",VLOOKUP(G129,'Crosswalk Detail'!A:B,2,FALSE))</f>
        <v>#REF!</v>
      </c>
    </row>
    <row r="130" spans="1:8" ht="144" customHeight="1" x14ac:dyDescent="0.2">
      <c r="A130" s="145" t="str">
        <f>'High Risk Non-Compliant'!B86</f>
        <v>HIPA-07</v>
      </c>
      <c r="B130" s="343" t="str">
        <f>'High Risk Non-Compliant'!C86</f>
        <v>Have you conducted a risk analysis as required under the Security Rule?</v>
      </c>
      <c r="C130" s="343"/>
      <c r="D130" s="344">
        <f>'High Risk Non-Compliant'!D86</f>
        <v>0</v>
      </c>
      <c r="E130" s="344"/>
      <c r="F130" s="344"/>
      <c r="G130" s="144" t="e">
        <f>IF(VLOOKUP(A130,'High Risk Non-Compliant'!B:K,$H$48,FALSE)=0,"N/A",VLOOKUP(A130,'High Risk Non-Compliant'!B:K,$H$48,FALSE))</f>
        <v>#REF!</v>
      </c>
      <c r="H130" s="144" t="e">
        <f>IF(G130="N/A","N/A",VLOOKUP(G130,'Crosswalk Detail'!A:B,2,FALSE))</f>
        <v>#REF!</v>
      </c>
    </row>
    <row r="131" spans="1:8" ht="144" customHeight="1" x14ac:dyDescent="0.2">
      <c r="A131" s="145" t="str">
        <f>'High Risk Non-Compliant'!B87</f>
        <v>HIPA-14</v>
      </c>
      <c r="B131" s="343" t="str">
        <f>'High Risk Non-Compliant'!C87</f>
        <v>Are passwords visible in plain text, whether when stored or entered, including service level accounts (i.e. database accounts, etc.)?</v>
      </c>
      <c r="C131" s="343"/>
      <c r="D131" s="344">
        <f>'High Risk Non-Compliant'!D87</f>
        <v>0</v>
      </c>
      <c r="E131" s="344"/>
      <c r="F131" s="344"/>
      <c r="G131" s="144" t="e">
        <f>IF(VLOOKUP(A131,'High Risk Non-Compliant'!B:K,$H$48,FALSE)=0,"N/A",VLOOKUP(A131,'High Risk Non-Compliant'!B:K,$H$48,FALSE))</f>
        <v>#REF!</v>
      </c>
      <c r="H131" s="144" t="e">
        <f>IF(G131="N/A","N/A",VLOOKUP(G131,'Crosswalk Detail'!A:B,2,FALSE))</f>
        <v>#REF!</v>
      </c>
    </row>
    <row r="132" spans="1:8" ht="144" customHeight="1" x14ac:dyDescent="0.2">
      <c r="A132" s="145" t="str">
        <f>'High Risk Non-Compliant'!B88</f>
        <v>PCID-03</v>
      </c>
      <c r="B132" s="343" t="str">
        <f>'High Risk Non-Compliant'!C88</f>
        <v>Do you have a current, executed within the past year, Attestation of Compliance (AoC) or Report on Compliance (RoC)?</v>
      </c>
      <c r="C132" s="343"/>
      <c r="D132" s="344">
        <f>'High Risk Non-Compliant'!D88</f>
        <v>0</v>
      </c>
      <c r="E132" s="344"/>
      <c r="F132" s="344"/>
      <c r="G132" s="144" t="e">
        <f>IF(VLOOKUP(A132,'High Risk Non-Compliant'!B:K,$H$48,FALSE)=0,"N/A",VLOOKUP(A132,'High Risk Non-Compliant'!B:K,$H$48,FALSE))</f>
        <v>#REF!</v>
      </c>
      <c r="H132" s="144" t="e">
        <f>IF(G132="N/A","N/A",VLOOKUP(G132,'Crosswalk Detail'!A:B,2,FALSE))</f>
        <v>#REF!</v>
      </c>
    </row>
    <row r="133" spans="1:8" ht="144" customHeight="1" x14ac:dyDescent="0.2">
      <c r="A133" s="145" t="str">
        <f>'High Risk Non-Compliant'!B89</f>
        <v>PCID-06</v>
      </c>
      <c r="B133" s="343" t="str">
        <f>'High Risk Non-Compliant'!C89</f>
        <v>Are you classified as a merchant?  If so, what level (1, 2, 3, 4)?</v>
      </c>
      <c r="C133" s="343"/>
      <c r="D133" s="344">
        <f>'High Risk Non-Compliant'!D89</f>
        <v>0</v>
      </c>
      <c r="E133" s="344"/>
      <c r="F133" s="344"/>
      <c r="G133" s="144" t="e">
        <f>IF(VLOOKUP(A133,'High Risk Non-Compliant'!B:K,$H$48,FALSE)=0,"N/A",VLOOKUP(A133,'High Risk Non-Compliant'!B:K,$H$48,FALSE))</f>
        <v>#REF!</v>
      </c>
      <c r="H133" s="144" t="e">
        <f>IF(G133="N/A","N/A",VLOOKUP(G133,'Crosswalk Detail'!A:B,2,FALSE))</f>
        <v>#REF!</v>
      </c>
    </row>
    <row r="134" spans="1:8" ht="144" customHeight="1" x14ac:dyDescent="0.2">
      <c r="A134" s="145" t="str">
        <f>'High Risk Non-Compliant'!B90</f>
        <v>PCID-09</v>
      </c>
      <c r="B134" s="343" t="str">
        <f>'High Risk Non-Compliant'!C90</f>
        <v>Can the application be installed in a PCI DSS compliant manner ?</v>
      </c>
      <c r="C134" s="343"/>
      <c r="D134" s="344">
        <f>'High Risk Non-Compliant'!D90</f>
        <v>0</v>
      </c>
      <c r="E134" s="344"/>
      <c r="F134" s="344"/>
      <c r="G134" s="144" t="e">
        <f>IF(VLOOKUP(A134,'High Risk Non-Compliant'!B:K,$H$48,FALSE)=0,"N/A",VLOOKUP(A134,'High Risk Non-Compliant'!B:K,$H$48,FALSE))</f>
        <v>#REF!</v>
      </c>
      <c r="H134" s="144" t="e">
        <f>IF(G134="N/A","N/A",VLOOKUP(G134,'Crosswalk Detail'!A:B,2,FALSE))</f>
        <v>#REF!</v>
      </c>
    </row>
    <row r="135" spans="1:8" ht="144" customHeight="1" x14ac:dyDescent="0.2">
      <c r="A135" s="145" t="str">
        <f>'High Risk Non-Compliant'!B91</f>
        <v>COMP-04</v>
      </c>
      <c r="B135" s="343" t="str">
        <f>'High Risk Non-Compliant'!C91</f>
        <v>Have you had a significant breach in the last 5 years?</v>
      </c>
      <c r="C135" s="343"/>
      <c r="D135" s="344">
        <f>'High Risk Non-Compliant'!D91</f>
        <v>0</v>
      </c>
      <c r="E135" s="344"/>
      <c r="F135" s="344"/>
      <c r="G135" s="144" t="e">
        <f>IF(VLOOKUP(A135,'High Risk Non-Compliant'!B:K,$H$48,FALSE)=0,"N/A",VLOOKUP(A135,'High Risk Non-Compliant'!B:K,$H$48,FALSE))</f>
        <v>#REF!</v>
      </c>
      <c r="H135" s="144" t="e">
        <f>IF(G135="N/A","N/A",VLOOKUP(G135,'Crosswalk Detail'!A:B,2,FALSE))</f>
        <v>#REF!</v>
      </c>
    </row>
    <row r="136" spans="1:8" ht="144" customHeight="1" x14ac:dyDescent="0.2">
      <c r="A136" s="145" t="str">
        <f>'High Risk Non-Compliant'!B92</f>
        <v>COMP-05</v>
      </c>
      <c r="B136" s="343" t="str">
        <f>'High Risk Non-Compliant'!C92</f>
        <v>Do you have a dedicated Information Security staff or office?</v>
      </c>
      <c r="C136" s="343"/>
      <c r="D136" s="344">
        <f>'High Risk Non-Compliant'!D92</f>
        <v>0</v>
      </c>
      <c r="E136" s="344"/>
      <c r="F136" s="344"/>
      <c r="G136" s="144" t="e">
        <f>IF(VLOOKUP(A136,'High Risk Non-Compliant'!B:K,$H$48,FALSE)=0,"N/A",VLOOKUP(A136,'High Risk Non-Compliant'!B:K,$H$48,FALSE))</f>
        <v>#REF!</v>
      </c>
      <c r="H136" s="144" t="e">
        <f>IF(G136="N/A","N/A",VLOOKUP(G136,'Crosswalk Detail'!A:B,2,FALSE))</f>
        <v>#REF!</v>
      </c>
    </row>
    <row r="137" spans="1:8" ht="144" customHeight="1" x14ac:dyDescent="0.2">
      <c r="A137" s="145" t="str">
        <f>'High Risk Non-Compliant'!B93</f>
        <v>COMP-07</v>
      </c>
      <c r="B137" s="343" t="str">
        <f>'High Risk Non-Compliant'!C93</f>
        <v>Use this area to share information about your environment that will assist those who are assessing your company data security program.</v>
      </c>
      <c r="C137" s="343"/>
      <c r="D137" s="344">
        <f>'High Risk Non-Compliant'!D93</f>
        <v>0</v>
      </c>
      <c r="E137" s="344"/>
      <c r="F137" s="344"/>
      <c r="G137" s="144" t="e">
        <f>IF(VLOOKUP(A137,'High Risk Non-Compliant'!B:K,$H$48,FALSE)=0,"N/A",VLOOKUP(A137,'High Risk Non-Compliant'!B:K,$H$48,FALSE))</f>
        <v>#REF!</v>
      </c>
      <c r="H137" s="144" t="e">
        <f>IF(G137="N/A","N/A",VLOOKUP(G137,'Crosswalk Detail'!A:B,2,FALSE))</f>
        <v>#REF!</v>
      </c>
    </row>
    <row r="138" spans="1:8" ht="144" customHeight="1" x14ac:dyDescent="0.2">
      <c r="A138" s="145">
        <f>'High Risk Non-Compliant'!B94</f>
        <v>0</v>
      </c>
      <c r="B138" s="343">
        <f>'High Risk Non-Compliant'!C94</f>
        <v>0</v>
      </c>
      <c r="C138" s="343"/>
      <c r="D138" s="344">
        <f>'High Risk Non-Compliant'!D94</f>
        <v>0</v>
      </c>
      <c r="E138" s="344"/>
      <c r="F138" s="344"/>
      <c r="G138" s="144" t="e">
        <f>IF(VLOOKUP(A138,'High Risk Non-Compliant'!B:K,$H$48,FALSE)=0,"N/A",VLOOKUP(A138,'High Risk Non-Compliant'!B:K,$H$48,FALSE))</f>
        <v>#REF!</v>
      </c>
      <c r="H138" s="144" t="e">
        <f>IF(G138="N/A","N/A",VLOOKUP(G138,'Crosswalk Detail'!A:B,2,FALSE))</f>
        <v>#REF!</v>
      </c>
    </row>
    <row r="139" spans="1:8" ht="144" customHeight="1" x14ac:dyDescent="0.2">
      <c r="A139" s="145">
        <f>'High Risk Non-Compliant'!B95</f>
        <v>0</v>
      </c>
      <c r="B139" s="343">
        <f>'High Risk Non-Compliant'!C95</f>
        <v>0</v>
      </c>
      <c r="C139" s="343"/>
      <c r="D139" s="344">
        <f>'High Risk Non-Compliant'!D95</f>
        <v>0</v>
      </c>
      <c r="E139" s="344"/>
      <c r="F139" s="344"/>
      <c r="G139" s="144" t="e">
        <f>IF(VLOOKUP(A139,'High Risk Non-Compliant'!B:K,$H$48,FALSE)=0,"N/A",VLOOKUP(A139,'High Risk Non-Compliant'!B:K,$H$48,FALSE))</f>
        <v>#REF!</v>
      </c>
      <c r="H139" s="144" t="e">
        <f>IF(G139="N/A","N/A",VLOOKUP(G139,'Crosswalk Detail'!A:B,2,FALSE))</f>
        <v>#REF!</v>
      </c>
    </row>
    <row r="140" spans="1:8" ht="144" customHeight="1" x14ac:dyDescent="0.2">
      <c r="A140" s="145">
        <f>'High Risk Non-Compliant'!B96</f>
        <v>0</v>
      </c>
      <c r="B140" s="343">
        <f>'High Risk Non-Compliant'!C96</f>
        <v>0</v>
      </c>
      <c r="C140" s="343"/>
      <c r="D140" s="344">
        <f>'High Risk Non-Compliant'!D96</f>
        <v>0</v>
      </c>
      <c r="E140" s="344"/>
      <c r="F140" s="344"/>
      <c r="G140" s="144" t="e">
        <f>IF(VLOOKUP(A140,'High Risk Non-Compliant'!B:K,$H$48,FALSE)=0,"N/A",VLOOKUP(A140,'High Risk Non-Compliant'!B:K,$H$48,FALSE))</f>
        <v>#REF!</v>
      </c>
      <c r="H140" s="144" t="e">
        <f>IF(G140="N/A","N/A",VLOOKUP(G140,'Crosswalk Detail'!A:B,2,FALSE))</f>
        <v>#REF!</v>
      </c>
    </row>
    <row r="141" spans="1:8" ht="144" customHeight="1" x14ac:dyDescent="0.2">
      <c r="A141" s="145">
        <f>'High Risk Non-Compliant'!B97</f>
        <v>0</v>
      </c>
      <c r="B141" s="343">
        <f>'High Risk Non-Compliant'!C97</f>
        <v>0</v>
      </c>
      <c r="C141" s="343"/>
      <c r="D141" s="344">
        <f>'High Risk Non-Compliant'!D97</f>
        <v>0</v>
      </c>
      <c r="E141" s="344"/>
      <c r="F141" s="344"/>
      <c r="G141" s="144" t="e">
        <f>IF(VLOOKUP(A141,'High Risk Non-Compliant'!B:K,$H$48,FALSE)=0,"N/A",VLOOKUP(A141,'High Risk Non-Compliant'!B:K,$H$48,FALSE))</f>
        <v>#REF!</v>
      </c>
      <c r="H141" s="144" t="e">
        <f>IF(G141="N/A","N/A",VLOOKUP(G141,'Crosswalk Detail'!A:B,2,FALSE))</f>
        <v>#REF!</v>
      </c>
    </row>
    <row r="142" spans="1:8" ht="144" customHeight="1" x14ac:dyDescent="0.2">
      <c r="A142" s="145">
        <f>'High Risk Non-Compliant'!B98</f>
        <v>0</v>
      </c>
      <c r="B142" s="343">
        <f>'High Risk Non-Compliant'!C98</f>
        <v>0</v>
      </c>
      <c r="C142" s="343"/>
      <c r="D142" s="344">
        <f>'High Risk Non-Compliant'!D98</f>
        <v>0</v>
      </c>
      <c r="E142" s="344"/>
      <c r="F142" s="344"/>
      <c r="G142" s="144" t="e">
        <f>IF(VLOOKUP(A142,'High Risk Non-Compliant'!B:K,$H$48,FALSE)=0,"N/A",VLOOKUP(A142,'High Risk Non-Compliant'!B:K,$H$48,FALSE))</f>
        <v>#REF!</v>
      </c>
      <c r="H142" s="144" t="e">
        <f>IF(G142="N/A","N/A",VLOOKUP(G142,'Crosswalk Detail'!A:B,2,FALSE))</f>
        <v>#REF!</v>
      </c>
    </row>
    <row r="143" spans="1:8" ht="144" customHeight="1" x14ac:dyDescent="0.2">
      <c r="A143" s="145">
        <f>'High Risk Non-Compliant'!B99</f>
        <v>0</v>
      </c>
      <c r="B143" s="343">
        <f>'High Risk Non-Compliant'!C99</f>
        <v>0</v>
      </c>
      <c r="C143" s="343"/>
      <c r="D143" s="344">
        <f>'High Risk Non-Compliant'!D99</f>
        <v>0</v>
      </c>
      <c r="E143" s="344"/>
      <c r="F143" s="344"/>
      <c r="G143" s="144" t="e">
        <f>IF(VLOOKUP(A143,'High Risk Non-Compliant'!B:K,$H$48,FALSE)=0,"N/A",VLOOKUP(A143,'High Risk Non-Compliant'!B:K,$H$48,FALSE))</f>
        <v>#REF!</v>
      </c>
      <c r="H143" s="144" t="e">
        <f>IF(G143="N/A","N/A",VLOOKUP(G143,'Crosswalk Detail'!A:B,2,FALSE))</f>
        <v>#REF!</v>
      </c>
    </row>
    <row r="144" spans="1:8" ht="144" customHeight="1" x14ac:dyDescent="0.2">
      <c r="A144" s="145">
        <f>'High Risk Non-Compliant'!B100</f>
        <v>0</v>
      </c>
      <c r="B144" s="343">
        <f>'High Risk Non-Compliant'!C100</f>
        <v>0</v>
      </c>
      <c r="C144" s="343"/>
      <c r="D144" s="344">
        <f>'High Risk Non-Compliant'!D100</f>
        <v>0</v>
      </c>
      <c r="E144" s="344"/>
      <c r="F144" s="344"/>
      <c r="G144" s="144" t="e">
        <f>IF(VLOOKUP(A144,'High Risk Non-Compliant'!B:K,$H$48,FALSE)=0,"N/A",VLOOKUP(A144,'High Risk Non-Compliant'!B:K,$H$48,FALSE))</f>
        <v>#REF!</v>
      </c>
      <c r="H144" s="144" t="e">
        <f>IF(G144="N/A","N/A",VLOOKUP(G144,'Crosswalk Detail'!A:B,2,FALSE))</f>
        <v>#REF!</v>
      </c>
    </row>
    <row r="145" spans="1:8" ht="144" customHeight="1" x14ac:dyDescent="0.2">
      <c r="A145" s="145">
        <f>'High Risk Non-Compliant'!B101</f>
        <v>0</v>
      </c>
      <c r="B145" s="343">
        <f>'High Risk Non-Compliant'!C101</f>
        <v>0</v>
      </c>
      <c r="C145" s="343"/>
      <c r="D145" s="344">
        <f>'High Risk Non-Compliant'!D101</f>
        <v>0</v>
      </c>
      <c r="E145" s="344"/>
      <c r="F145" s="344"/>
      <c r="G145" s="144" t="e">
        <f>IF(VLOOKUP(A145,'High Risk Non-Compliant'!B:K,$H$48,FALSE)=0,"N/A",VLOOKUP(A145,'High Risk Non-Compliant'!B:K,$H$48,FALSE))</f>
        <v>#REF!</v>
      </c>
      <c r="H145" s="144" t="e">
        <f>IF(G145="N/A","N/A",VLOOKUP(G145,'Crosswalk Detail'!A:B,2,FALSE))</f>
        <v>#REF!</v>
      </c>
    </row>
    <row r="146" spans="1:8" ht="144" customHeight="1" x14ac:dyDescent="0.2">
      <c r="A146" s="145">
        <f>'High Risk Non-Compliant'!B102</f>
        <v>0</v>
      </c>
      <c r="B146" s="343">
        <f>'High Risk Non-Compliant'!C102</f>
        <v>0</v>
      </c>
      <c r="C146" s="343"/>
      <c r="D146" s="344">
        <f>'High Risk Non-Compliant'!D102</f>
        <v>0</v>
      </c>
      <c r="E146" s="344"/>
      <c r="F146" s="344"/>
      <c r="G146" s="144" t="e">
        <f>IF(VLOOKUP(A146,'High Risk Non-Compliant'!B:K,$H$48,FALSE)=0,"N/A",VLOOKUP(A146,'High Risk Non-Compliant'!B:K,$H$48,FALSE))</f>
        <v>#REF!</v>
      </c>
      <c r="H146" s="144" t="e">
        <f>IF(G146="N/A","N/A",VLOOKUP(G146,'Crosswalk Detail'!A:B,2,FALSE))</f>
        <v>#REF!</v>
      </c>
    </row>
    <row r="147" spans="1:8" ht="144" customHeight="1" x14ac:dyDescent="0.2">
      <c r="A147" s="145">
        <f>'High Risk Non-Compliant'!B103</f>
        <v>0</v>
      </c>
      <c r="B147" s="343">
        <f>'High Risk Non-Compliant'!C103</f>
        <v>0</v>
      </c>
      <c r="C147" s="343"/>
      <c r="D147" s="344">
        <f>'High Risk Non-Compliant'!D103</f>
        <v>0</v>
      </c>
      <c r="E147" s="344"/>
      <c r="F147" s="344"/>
      <c r="G147" s="144" t="e">
        <f>IF(VLOOKUP(A147,'High Risk Non-Compliant'!B:K,$H$48,FALSE)=0,"N/A",VLOOKUP(A147,'High Risk Non-Compliant'!B:K,$H$48,FALSE))</f>
        <v>#REF!</v>
      </c>
      <c r="H147" s="144" t="e">
        <f>IF(G147="N/A","N/A",VLOOKUP(G147,'Crosswalk Detail'!A:B,2,FALSE))</f>
        <v>#REF!</v>
      </c>
    </row>
    <row r="148" spans="1:8" ht="144" customHeight="1" x14ac:dyDescent="0.2">
      <c r="A148" s="145">
        <f>'High Risk Non-Compliant'!B104</f>
        <v>0</v>
      </c>
      <c r="B148" s="343">
        <f>'High Risk Non-Compliant'!C104</f>
        <v>0</v>
      </c>
      <c r="C148" s="343"/>
      <c r="D148" s="344">
        <f>'High Risk Non-Compliant'!D104</f>
        <v>0</v>
      </c>
      <c r="E148" s="344"/>
      <c r="F148" s="344"/>
      <c r="G148" s="144" t="e">
        <f>IF(VLOOKUP(A148,'High Risk Non-Compliant'!B:K,$H$48,FALSE)=0,"N/A",VLOOKUP(A148,'High Risk Non-Compliant'!B:K,$H$48,FALSE))</f>
        <v>#REF!</v>
      </c>
      <c r="H148" s="144" t="e">
        <f>IF(G148="N/A","N/A",VLOOKUP(G148,'Crosswalk Detail'!A:B,2,FALSE))</f>
        <v>#REF!</v>
      </c>
    </row>
    <row r="149" spans="1:8" ht="144" customHeight="1" x14ac:dyDescent="0.2">
      <c r="A149" s="145">
        <f>'High Risk Non-Compliant'!B105</f>
        <v>0</v>
      </c>
      <c r="B149" s="343">
        <f>'High Risk Non-Compliant'!C105</f>
        <v>0</v>
      </c>
      <c r="C149" s="343"/>
      <c r="D149" s="344">
        <f>'High Risk Non-Compliant'!D105</f>
        <v>0</v>
      </c>
      <c r="E149" s="344"/>
      <c r="F149" s="344"/>
      <c r="G149" s="144" t="e">
        <f>IF(VLOOKUP(A149,'High Risk Non-Compliant'!B:K,$H$48,FALSE)=0,"N/A",VLOOKUP(A149,'High Risk Non-Compliant'!B:K,$H$48,FALSE))</f>
        <v>#REF!</v>
      </c>
      <c r="H149" s="144" t="e">
        <f>IF(G149="N/A","N/A",VLOOKUP(G149,'Crosswalk Detail'!A:B,2,FALSE))</f>
        <v>#REF!</v>
      </c>
    </row>
    <row r="150" spans="1:8" ht="144" customHeight="1" x14ac:dyDescent="0.2">
      <c r="A150" s="145">
        <f>'High Risk Non-Compliant'!B106</f>
        <v>0</v>
      </c>
      <c r="B150" s="343">
        <f>'High Risk Non-Compliant'!C106</f>
        <v>0</v>
      </c>
      <c r="C150" s="343"/>
      <c r="D150" s="344">
        <f>'High Risk Non-Compliant'!D106</f>
        <v>0</v>
      </c>
      <c r="E150" s="344"/>
      <c r="F150" s="344"/>
      <c r="G150" s="144" t="e">
        <f>IF(VLOOKUP(A150,'High Risk Non-Compliant'!B:K,$H$48,FALSE)=0,"N/A",VLOOKUP(A150,'High Risk Non-Compliant'!B:K,$H$48,FALSE))</f>
        <v>#REF!</v>
      </c>
      <c r="H150" s="144" t="e">
        <f>IF(G150="N/A","N/A",VLOOKUP(G150,'Crosswalk Detail'!A:B,2,FALSE))</f>
        <v>#REF!</v>
      </c>
    </row>
    <row r="151" spans="1:8" ht="144" customHeight="1" x14ac:dyDescent="0.2">
      <c r="A151" s="145">
        <f>'High Risk Non-Compliant'!B107</f>
        <v>0</v>
      </c>
      <c r="B151" s="343">
        <f>'High Risk Non-Compliant'!C107</f>
        <v>0</v>
      </c>
      <c r="C151" s="343"/>
      <c r="D151" s="344">
        <f>'High Risk Non-Compliant'!D107</f>
        <v>0</v>
      </c>
      <c r="E151" s="344"/>
      <c r="F151" s="344"/>
      <c r="G151" s="144" t="e">
        <f>IF(VLOOKUP(A151,'High Risk Non-Compliant'!B:K,$H$48,FALSE)=0,"N/A",VLOOKUP(A151,'High Risk Non-Compliant'!B:K,$H$48,FALSE))</f>
        <v>#REF!</v>
      </c>
      <c r="H151" s="144" t="e">
        <f>IF(G151="N/A","N/A",VLOOKUP(G151,'Crosswalk Detail'!A:B,2,FALSE))</f>
        <v>#REF!</v>
      </c>
    </row>
    <row r="152" spans="1:8" ht="144" customHeight="1" x14ac:dyDescent="0.2">
      <c r="A152" s="145">
        <f>'High Risk Non-Compliant'!B108</f>
        <v>0</v>
      </c>
      <c r="B152" s="343">
        <f>'High Risk Non-Compliant'!C108</f>
        <v>0</v>
      </c>
      <c r="C152" s="343"/>
      <c r="D152" s="344">
        <f>'High Risk Non-Compliant'!D108</f>
        <v>0</v>
      </c>
      <c r="E152" s="344"/>
      <c r="F152" s="344"/>
      <c r="G152" s="144" t="e">
        <f>IF(VLOOKUP(A152,'High Risk Non-Compliant'!B:K,$H$48,FALSE)=0,"N/A",VLOOKUP(A152,'High Risk Non-Compliant'!B:K,$H$48,FALSE))</f>
        <v>#REF!</v>
      </c>
      <c r="H152" s="144" t="e">
        <f>IF(G152="N/A","N/A",VLOOKUP(G152,'Crosswalk Detail'!A:B,2,FALSE))</f>
        <v>#REF!</v>
      </c>
    </row>
    <row r="153" spans="1:8" ht="144" customHeight="1" x14ac:dyDescent="0.2">
      <c r="A153" s="145">
        <f>'High Risk Non-Compliant'!B109</f>
        <v>0</v>
      </c>
      <c r="B153" s="343">
        <f>'High Risk Non-Compliant'!C109</f>
        <v>0</v>
      </c>
      <c r="C153" s="343"/>
      <c r="D153" s="344">
        <f>'High Risk Non-Compliant'!D109</f>
        <v>0</v>
      </c>
      <c r="E153" s="344"/>
      <c r="F153" s="344"/>
      <c r="G153" s="144" t="e">
        <f>IF(VLOOKUP(A153,'High Risk Non-Compliant'!B:K,$H$48,FALSE)=0,"N/A",VLOOKUP(A153,'High Risk Non-Compliant'!B:K,$H$48,FALSE))</f>
        <v>#REF!</v>
      </c>
      <c r="H153" s="144" t="e">
        <f>IF(G153="N/A","N/A",VLOOKUP(G153,'Crosswalk Detail'!A:B,2,FALSE))</f>
        <v>#REF!</v>
      </c>
    </row>
    <row r="154" spans="1:8" ht="144" customHeight="1" x14ac:dyDescent="0.2">
      <c r="A154" s="145">
        <f>'High Risk Non-Compliant'!B110</f>
        <v>0</v>
      </c>
      <c r="B154" s="343">
        <f>'High Risk Non-Compliant'!C110</f>
        <v>0</v>
      </c>
      <c r="C154" s="343"/>
      <c r="D154" s="344">
        <f>'High Risk Non-Compliant'!D110</f>
        <v>0</v>
      </c>
      <c r="E154" s="344"/>
      <c r="F154" s="344"/>
      <c r="G154" s="144" t="e">
        <f>IF(VLOOKUP(A154,'High Risk Non-Compliant'!B:K,$H$48,FALSE)=0,"N/A",VLOOKUP(A154,'High Risk Non-Compliant'!B:K,$H$48,FALSE))</f>
        <v>#REF!</v>
      </c>
      <c r="H154" s="144" t="e">
        <f>IF(G154="N/A","N/A",VLOOKUP(G154,'Crosswalk Detail'!A:B,2,FALSE))</f>
        <v>#REF!</v>
      </c>
    </row>
    <row r="155" spans="1:8" ht="144" customHeight="1" x14ac:dyDescent="0.2">
      <c r="A155" s="145">
        <f>'High Risk Non-Compliant'!B111</f>
        <v>0</v>
      </c>
      <c r="B155" s="343">
        <f>'High Risk Non-Compliant'!C111</f>
        <v>0</v>
      </c>
      <c r="C155" s="343"/>
      <c r="D155" s="344">
        <f>'High Risk Non-Compliant'!D111</f>
        <v>0</v>
      </c>
      <c r="E155" s="344"/>
      <c r="F155" s="344"/>
      <c r="G155" s="144" t="e">
        <f>IF(VLOOKUP(A155,'High Risk Non-Compliant'!B:K,$H$48,FALSE)=0,"N/A",VLOOKUP(A155,'High Risk Non-Compliant'!B:K,$H$48,FALSE))</f>
        <v>#REF!</v>
      </c>
      <c r="H155" s="144" t="e">
        <f>IF(G155="N/A","N/A",VLOOKUP(G155,'Crosswalk Detail'!A:B,2,FALSE))</f>
        <v>#REF!</v>
      </c>
    </row>
    <row r="156" spans="1:8" ht="144" customHeight="1" x14ac:dyDescent="0.2">
      <c r="A156" s="145">
        <f>'High Risk Non-Compliant'!B112</f>
        <v>0</v>
      </c>
      <c r="B156" s="343">
        <f>'High Risk Non-Compliant'!C112</f>
        <v>0</v>
      </c>
      <c r="C156" s="343"/>
      <c r="D156" s="344">
        <f>'High Risk Non-Compliant'!D112</f>
        <v>0</v>
      </c>
      <c r="E156" s="344"/>
      <c r="F156" s="344"/>
      <c r="G156" s="144" t="e">
        <f>IF(VLOOKUP(A156,'High Risk Non-Compliant'!B:K,$H$48,FALSE)=0,"N/A",VLOOKUP(A156,'High Risk Non-Compliant'!B:K,$H$48,FALSE))</f>
        <v>#REF!</v>
      </c>
      <c r="H156" s="144" t="e">
        <f>IF(G156="N/A","N/A",VLOOKUP(G156,'Crosswalk Detail'!A:B,2,FALSE))</f>
        <v>#REF!</v>
      </c>
    </row>
    <row r="157" spans="1:8" ht="144" customHeight="1" x14ac:dyDescent="0.2">
      <c r="A157" s="145">
        <f>'High Risk Non-Compliant'!B113</f>
        <v>0</v>
      </c>
      <c r="B157" s="343">
        <f>'High Risk Non-Compliant'!C113</f>
        <v>0</v>
      </c>
      <c r="C157" s="343"/>
      <c r="D157" s="344">
        <f>'High Risk Non-Compliant'!D113</f>
        <v>0</v>
      </c>
      <c r="E157" s="344"/>
      <c r="F157" s="344"/>
      <c r="G157" s="144" t="e">
        <f>IF(VLOOKUP(A157,'High Risk Non-Compliant'!B:K,$H$48,FALSE)=0,"N/A",VLOOKUP(A157,'High Risk Non-Compliant'!B:K,$H$48,FALSE))</f>
        <v>#REF!</v>
      </c>
      <c r="H157" s="144" t="e">
        <f>IF(G157="N/A","N/A",VLOOKUP(G157,'Crosswalk Detail'!A:B,2,FALSE))</f>
        <v>#REF!</v>
      </c>
    </row>
    <row r="158" spans="1:8" ht="144" customHeight="1" x14ac:dyDescent="0.2">
      <c r="A158" s="145">
        <f>'High Risk Non-Compliant'!B114</f>
        <v>0</v>
      </c>
      <c r="B158" s="343">
        <f>'High Risk Non-Compliant'!C114</f>
        <v>0</v>
      </c>
      <c r="C158" s="343"/>
      <c r="D158" s="344">
        <f>'High Risk Non-Compliant'!D114</f>
        <v>0</v>
      </c>
      <c r="E158" s="344"/>
      <c r="F158" s="344"/>
      <c r="G158" s="144" t="e">
        <f>IF(VLOOKUP(A158,'High Risk Non-Compliant'!B:K,$H$48,FALSE)=0,"N/A",VLOOKUP(A158,'High Risk Non-Compliant'!B:K,$H$48,FALSE))</f>
        <v>#REF!</v>
      </c>
      <c r="H158" s="144" t="e">
        <f>IF(G158="N/A","N/A",VLOOKUP(G158,'Crosswalk Detail'!A:B,2,FALSE))</f>
        <v>#REF!</v>
      </c>
    </row>
    <row r="159" spans="1:8" ht="144" customHeight="1" x14ac:dyDescent="0.2">
      <c r="A159" s="145">
        <f>'High Risk Non-Compliant'!B115</f>
        <v>0</v>
      </c>
      <c r="B159" s="343">
        <f>'High Risk Non-Compliant'!C115</f>
        <v>0</v>
      </c>
      <c r="C159" s="343"/>
      <c r="D159" s="344">
        <f>'High Risk Non-Compliant'!D115</f>
        <v>0</v>
      </c>
      <c r="E159" s="344"/>
      <c r="F159" s="344"/>
      <c r="G159" s="144" t="e">
        <f>IF(VLOOKUP(A159,'High Risk Non-Compliant'!B:K,$H$48,FALSE)=0,"N/A",VLOOKUP(A159,'High Risk Non-Compliant'!B:K,$H$48,FALSE))</f>
        <v>#REF!</v>
      </c>
      <c r="H159" s="144" t="e">
        <f>IF(G159="N/A","N/A",VLOOKUP(G159,'Crosswalk Detail'!A:B,2,FALSE))</f>
        <v>#REF!</v>
      </c>
    </row>
    <row r="160" spans="1:8" ht="144" customHeight="1" x14ac:dyDescent="0.2">
      <c r="A160" s="145">
        <f>'High Risk Non-Compliant'!B116</f>
        <v>0</v>
      </c>
      <c r="B160" s="343">
        <f>'High Risk Non-Compliant'!C116</f>
        <v>0</v>
      </c>
      <c r="C160" s="343"/>
      <c r="D160" s="344">
        <f>'High Risk Non-Compliant'!D116</f>
        <v>0</v>
      </c>
      <c r="E160" s="344"/>
      <c r="F160" s="344"/>
      <c r="G160" s="144" t="e">
        <f>IF(VLOOKUP(A160,'High Risk Non-Compliant'!B:K,$H$48,FALSE)=0,"N/A",VLOOKUP(A160,'High Risk Non-Compliant'!B:K,$H$48,FALSE))</f>
        <v>#REF!</v>
      </c>
      <c r="H160" s="144" t="e">
        <f>IF(G160="N/A","N/A",VLOOKUP(G160,'Crosswalk Detail'!A:B,2,FALSE))</f>
        <v>#REF!</v>
      </c>
    </row>
    <row r="161" spans="1:8" ht="144" customHeight="1" x14ac:dyDescent="0.2">
      <c r="A161" s="145">
        <f>'High Risk Non-Compliant'!B117</f>
        <v>0</v>
      </c>
      <c r="B161" s="343">
        <f>'High Risk Non-Compliant'!C117</f>
        <v>0</v>
      </c>
      <c r="C161" s="343"/>
      <c r="D161" s="344">
        <f>'High Risk Non-Compliant'!D117</f>
        <v>0</v>
      </c>
      <c r="E161" s="344"/>
      <c r="F161" s="344"/>
      <c r="G161" s="144" t="e">
        <f>IF(VLOOKUP(A161,'High Risk Non-Compliant'!B:K,$H$48,FALSE)=0,"N/A",VLOOKUP(A161,'High Risk Non-Compliant'!B:K,$H$48,FALSE))</f>
        <v>#REF!</v>
      </c>
      <c r="H161" s="144" t="e">
        <f>IF(G161="N/A","N/A",VLOOKUP(G161,'Crosswalk Detail'!A:B,2,FALSE))</f>
        <v>#REF!</v>
      </c>
    </row>
    <row r="162" spans="1:8" ht="144" customHeight="1" x14ac:dyDescent="0.2">
      <c r="A162" s="145">
        <f>'High Risk Non-Compliant'!B118</f>
        <v>0</v>
      </c>
      <c r="B162" s="343">
        <f>'High Risk Non-Compliant'!C118</f>
        <v>0</v>
      </c>
      <c r="C162" s="343"/>
      <c r="D162" s="344">
        <f>'High Risk Non-Compliant'!D118</f>
        <v>0</v>
      </c>
      <c r="E162" s="344"/>
      <c r="F162" s="344"/>
      <c r="G162" s="144" t="e">
        <f>IF(VLOOKUP(A162,'High Risk Non-Compliant'!B:K,$H$48,FALSE)=0,"N/A",VLOOKUP(A162,'High Risk Non-Compliant'!B:K,$H$48,FALSE))</f>
        <v>#REF!</v>
      </c>
      <c r="H162" s="144" t="e">
        <f>IF(G162="N/A","N/A",VLOOKUP(G162,'Crosswalk Detail'!A:B,2,FALSE))</f>
        <v>#REF!</v>
      </c>
    </row>
    <row r="163" spans="1:8" ht="144" customHeight="1" x14ac:dyDescent="0.2">
      <c r="A163" s="145">
        <f>'High Risk Non-Compliant'!B119</f>
        <v>0</v>
      </c>
      <c r="B163" s="343">
        <f>'High Risk Non-Compliant'!C119</f>
        <v>0</v>
      </c>
      <c r="C163" s="343"/>
      <c r="D163" s="344">
        <f>'High Risk Non-Compliant'!D119</f>
        <v>0</v>
      </c>
      <c r="E163" s="344"/>
      <c r="F163" s="344"/>
      <c r="G163" s="144" t="e">
        <f>IF(VLOOKUP(A163,'High Risk Non-Compliant'!B:K,$H$48,FALSE)=0,"N/A",VLOOKUP(A163,'High Risk Non-Compliant'!B:K,$H$48,FALSE))</f>
        <v>#REF!</v>
      </c>
      <c r="H163" s="144" t="e">
        <f>IF(G163="N/A","N/A",VLOOKUP(G163,'Crosswalk Detail'!A:B,2,FALSE))</f>
        <v>#REF!</v>
      </c>
    </row>
    <row r="164" spans="1:8" ht="144" customHeight="1" x14ac:dyDescent="0.2">
      <c r="A164" s="145">
        <f>'High Risk Non-Compliant'!B120</f>
        <v>0</v>
      </c>
      <c r="B164" s="343">
        <f>'High Risk Non-Compliant'!C120</f>
        <v>0</v>
      </c>
      <c r="C164" s="343"/>
      <c r="D164" s="344">
        <f>'High Risk Non-Compliant'!D120</f>
        <v>0</v>
      </c>
      <c r="E164" s="344"/>
      <c r="F164" s="344"/>
      <c r="G164" s="144" t="e">
        <f>IF(VLOOKUP(A164,'High Risk Non-Compliant'!B:K,$H$48,FALSE)=0,"N/A",VLOOKUP(A164,'High Risk Non-Compliant'!B:K,$H$48,FALSE))</f>
        <v>#REF!</v>
      </c>
      <c r="H164" s="144" t="e">
        <f>IF(G164="N/A","N/A",VLOOKUP(G164,'Crosswalk Detail'!A:B,2,FALSE))</f>
        <v>#REF!</v>
      </c>
    </row>
    <row r="165" spans="1:8" ht="144" customHeight="1" x14ac:dyDescent="0.2">
      <c r="A165" s="145">
        <f>'High Risk Non-Compliant'!B121</f>
        <v>0</v>
      </c>
      <c r="B165" s="343">
        <f>'High Risk Non-Compliant'!C121</f>
        <v>0</v>
      </c>
      <c r="C165" s="343"/>
      <c r="D165" s="344">
        <f>'High Risk Non-Compliant'!D121</f>
        <v>0</v>
      </c>
      <c r="E165" s="344"/>
      <c r="F165" s="344"/>
      <c r="G165" s="144" t="e">
        <f>IF(VLOOKUP(A165,'High Risk Non-Compliant'!B:K,$H$48,FALSE)=0,"N/A",VLOOKUP(A165,'High Risk Non-Compliant'!B:K,$H$48,FALSE))</f>
        <v>#REF!</v>
      </c>
      <c r="H165" s="144" t="e">
        <f>IF(G165="N/A","N/A",VLOOKUP(G165,'Crosswalk Detail'!A:B,2,FALSE))</f>
        <v>#REF!</v>
      </c>
    </row>
    <row r="166" spans="1:8" ht="144" customHeight="1" x14ac:dyDescent="0.2">
      <c r="A166" s="145">
        <f>'High Risk Non-Compliant'!B122</f>
        <v>0</v>
      </c>
      <c r="B166" s="343">
        <f>'High Risk Non-Compliant'!C122</f>
        <v>0</v>
      </c>
      <c r="C166" s="343"/>
      <c r="D166" s="344">
        <f>'High Risk Non-Compliant'!D122</f>
        <v>0</v>
      </c>
      <c r="E166" s="344"/>
      <c r="F166" s="344"/>
      <c r="G166" s="144" t="e">
        <f>IF(VLOOKUP(A166,'High Risk Non-Compliant'!B:K,$H$48,FALSE)=0,"N/A",VLOOKUP(A166,'High Risk Non-Compliant'!B:K,$H$48,FALSE))</f>
        <v>#REF!</v>
      </c>
      <c r="H166" s="144" t="e">
        <f>IF(G166="N/A","N/A",VLOOKUP(G166,'Crosswalk Detail'!A:B,2,FALSE))</f>
        <v>#REF!</v>
      </c>
    </row>
    <row r="167" spans="1:8" ht="144" customHeight="1" x14ac:dyDescent="0.2">
      <c r="A167" s="145">
        <f>'High Risk Non-Compliant'!B123</f>
        <v>0</v>
      </c>
      <c r="B167" s="343">
        <f>'High Risk Non-Compliant'!C123</f>
        <v>0</v>
      </c>
      <c r="C167" s="343"/>
      <c r="D167" s="344">
        <f>'High Risk Non-Compliant'!D123</f>
        <v>0</v>
      </c>
      <c r="E167" s="344"/>
      <c r="F167" s="344"/>
      <c r="G167" s="144" t="e">
        <f>IF(VLOOKUP(A167,'High Risk Non-Compliant'!B:K,$H$48,FALSE)=0,"N/A",VLOOKUP(A167,'High Risk Non-Compliant'!B:K,$H$48,FALSE))</f>
        <v>#REF!</v>
      </c>
      <c r="H167" s="144" t="e">
        <f>IF(G167="N/A","N/A",VLOOKUP(G167,'Crosswalk Detail'!A:B,2,FALSE))</f>
        <v>#REF!</v>
      </c>
    </row>
    <row r="168" spans="1:8" ht="144" customHeight="1" x14ac:dyDescent="0.2">
      <c r="A168" s="145">
        <f>'High Risk Non-Compliant'!B124</f>
        <v>0</v>
      </c>
      <c r="B168" s="343">
        <f>'High Risk Non-Compliant'!C124</f>
        <v>0</v>
      </c>
      <c r="C168" s="343"/>
      <c r="D168" s="344">
        <f>'High Risk Non-Compliant'!D124</f>
        <v>0</v>
      </c>
      <c r="E168" s="344"/>
      <c r="F168" s="344"/>
      <c r="G168" s="144" t="e">
        <f>IF(VLOOKUP(A168,'High Risk Non-Compliant'!B:K,$H$48,FALSE)=0,"N/A",VLOOKUP(A168,'High Risk Non-Compliant'!B:K,$H$48,FALSE))</f>
        <v>#REF!</v>
      </c>
      <c r="H168" s="144" t="e">
        <f>IF(G168="N/A","N/A",VLOOKUP(G168,'Crosswalk Detail'!A:B,2,FALSE))</f>
        <v>#REF!</v>
      </c>
    </row>
    <row r="169" spans="1:8" ht="144" customHeight="1" x14ac:dyDescent="0.2">
      <c r="A169" s="145">
        <f>'High Risk Non-Compliant'!B125</f>
        <v>0</v>
      </c>
      <c r="B169" s="343">
        <f>'High Risk Non-Compliant'!C125</f>
        <v>0</v>
      </c>
      <c r="C169" s="343"/>
      <c r="D169" s="344">
        <f>'High Risk Non-Compliant'!D125</f>
        <v>0</v>
      </c>
      <c r="E169" s="344"/>
      <c r="F169" s="344"/>
      <c r="G169" s="144" t="e">
        <f>IF(VLOOKUP(A169,'High Risk Non-Compliant'!B:K,$H$48,FALSE)=0,"N/A",VLOOKUP(A169,'High Risk Non-Compliant'!B:K,$H$48,FALSE))</f>
        <v>#REF!</v>
      </c>
      <c r="H169" s="144" t="e">
        <f>IF(G169="N/A","N/A",VLOOKUP(G169,'Crosswalk Detail'!A:B,2,FALSE))</f>
        <v>#REF!</v>
      </c>
    </row>
    <row r="170" spans="1:8" ht="144" customHeight="1" x14ac:dyDescent="0.2">
      <c r="A170" s="145">
        <f>'High Risk Non-Compliant'!B126</f>
        <v>0</v>
      </c>
      <c r="B170" s="343">
        <f>'High Risk Non-Compliant'!C126</f>
        <v>0</v>
      </c>
      <c r="C170" s="343"/>
      <c r="D170" s="344">
        <f>'High Risk Non-Compliant'!D126</f>
        <v>0</v>
      </c>
      <c r="E170" s="344"/>
      <c r="F170" s="344"/>
      <c r="G170" s="144" t="e">
        <f>IF(VLOOKUP(A170,'High Risk Non-Compliant'!B:K,$H$48,FALSE)=0,"N/A",VLOOKUP(A170,'High Risk Non-Compliant'!B:K,$H$48,FALSE))</f>
        <v>#REF!</v>
      </c>
      <c r="H170" s="144" t="e">
        <f>IF(G170="N/A","N/A",VLOOKUP(G170,'Crosswalk Detail'!A:B,2,FALSE))</f>
        <v>#REF!</v>
      </c>
    </row>
    <row r="171" spans="1:8" ht="144" customHeight="1" x14ac:dyDescent="0.2">
      <c r="A171" s="145">
        <f>'High Risk Non-Compliant'!B127</f>
        <v>0</v>
      </c>
      <c r="B171" s="343">
        <f>'High Risk Non-Compliant'!C127</f>
        <v>0</v>
      </c>
      <c r="C171" s="343"/>
      <c r="D171" s="344">
        <f>'High Risk Non-Compliant'!D127</f>
        <v>0</v>
      </c>
      <c r="E171" s="344"/>
      <c r="F171" s="344"/>
      <c r="G171" s="144" t="e">
        <f>IF(VLOOKUP(A171,'High Risk Non-Compliant'!B:K,$H$48,FALSE)=0,"N/A",VLOOKUP(A171,'High Risk Non-Compliant'!B:K,$H$48,FALSE))</f>
        <v>#REF!</v>
      </c>
      <c r="H171" s="144" t="e">
        <f>IF(G171="N/A","N/A",VLOOKUP(G171,'Crosswalk Detail'!A:B,2,FALSE))</f>
        <v>#REF!</v>
      </c>
    </row>
    <row r="172" spans="1:8" ht="144" customHeight="1" x14ac:dyDescent="0.2">
      <c r="A172" s="145">
        <f>'High Risk Non-Compliant'!B128</f>
        <v>0</v>
      </c>
      <c r="B172" s="343">
        <f>'High Risk Non-Compliant'!C128</f>
        <v>0</v>
      </c>
      <c r="C172" s="343"/>
      <c r="D172" s="344">
        <f>'High Risk Non-Compliant'!D128</f>
        <v>0</v>
      </c>
      <c r="E172" s="344"/>
      <c r="F172" s="344"/>
      <c r="G172" s="144" t="e">
        <f>IF(VLOOKUP(A172,'High Risk Non-Compliant'!B:K,$H$48,FALSE)=0,"N/A",VLOOKUP(A172,'High Risk Non-Compliant'!B:K,$H$48,FALSE))</f>
        <v>#REF!</v>
      </c>
      <c r="H172" s="144" t="e">
        <f>IF(G172="N/A","N/A",VLOOKUP(G172,'Crosswalk Detail'!A:B,2,FALSE))</f>
        <v>#REF!</v>
      </c>
    </row>
    <row r="173" spans="1:8" ht="144" customHeight="1" x14ac:dyDescent="0.2">
      <c r="A173" s="145">
        <f>'High Risk Non-Compliant'!B129</f>
        <v>0</v>
      </c>
      <c r="B173" s="343">
        <f>'High Risk Non-Compliant'!C129</f>
        <v>0</v>
      </c>
      <c r="C173" s="343"/>
      <c r="D173" s="344">
        <f>'High Risk Non-Compliant'!D129</f>
        <v>0</v>
      </c>
      <c r="E173" s="344"/>
      <c r="F173" s="344"/>
      <c r="G173" s="144" t="e">
        <f>IF(VLOOKUP(A173,'High Risk Non-Compliant'!B:K,$H$48,FALSE)=0,"N/A",VLOOKUP(A173,'High Risk Non-Compliant'!B:K,$H$48,FALSE))</f>
        <v>#REF!</v>
      </c>
      <c r="H173" s="144" t="e">
        <f>IF(G173="N/A","N/A",VLOOKUP(G173,'Crosswalk Detail'!A:B,2,FALSE))</f>
        <v>#REF!</v>
      </c>
    </row>
    <row r="174" spans="1:8" ht="144" customHeight="1" x14ac:dyDescent="0.2">
      <c r="A174" s="145">
        <f>'High Risk Non-Compliant'!B130</f>
        <v>0</v>
      </c>
      <c r="B174" s="343">
        <f>'High Risk Non-Compliant'!C130</f>
        <v>0</v>
      </c>
      <c r="C174" s="343"/>
      <c r="D174" s="344">
        <f>'High Risk Non-Compliant'!D130</f>
        <v>0</v>
      </c>
      <c r="E174" s="344"/>
      <c r="F174" s="344"/>
      <c r="G174" s="144" t="e">
        <f>IF(VLOOKUP(A174,'High Risk Non-Compliant'!B:K,$H$48,FALSE)=0,"N/A",VLOOKUP(A174,'High Risk Non-Compliant'!B:K,$H$48,FALSE))</f>
        <v>#REF!</v>
      </c>
      <c r="H174" s="144" t="e">
        <f>IF(G174="N/A","N/A",VLOOKUP(G174,'Crosswalk Detail'!A:B,2,FALSE))</f>
        <v>#REF!</v>
      </c>
    </row>
    <row r="175" spans="1:8" ht="144" customHeight="1" x14ac:dyDescent="0.2">
      <c r="A175" s="145">
        <f>'High Risk Non-Compliant'!B131</f>
        <v>0</v>
      </c>
      <c r="B175" s="343">
        <f>'High Risk Non-Compliant'!C131</f>
        <v>0</v>
      </c>
      <c r="C175" s="343"/>
      <c r="D175" s="344">
        <f>'High Risk Non-Compliant'!D131</f>
        <v>0</v>
      </c>
      <c r="E175" s="344"/>
      <c r="F175" s="344"/>
      <c r="G175" s="144" t="e">
        <f>IF(VLOOKUP(A175,'High Risk Non-Compliant'!B:K,$H$48,FALSE)=0,"N/A",VLOOKUP(A175,'High Risk Non-Compliant'!B:K,$H$48,FALSE))</f>
        <v>#REF!</v>
      </c>
      <c r="H175" s="144" t="e">
        <f>IF(G175="N/A","N/A",VLOOKUP(G175,'Crosswalk Detail'!A:B,2,FALSE))</f>
        <v>#REF!</v>
      </c>
    </row>
    <row r="176" spans="1:8" ht="144" customHeight="1" x14ac:dyDescent="0.2">
      <c r="A176" s="145">
        <f>'High Risk Non-Compliant'!B132</f>
        <v>0</v>
      </c>
      <c r="B176" s="343">
        <f>'High Risk Non-Compliant'!C132</f>
        <v>0</v>
      </c>
      <c r="C176" s="343"/>
      <c r="D176" s="344">
        <f>'High Risk Non-Compliant'!D132</f>
        <v>0</v>
      </c>
      <c r="E176" s="344"/>
      <c r="F176" s="344"/>
      <c r="G176" s="144" t="e">
        <f>IF(VLOOKUP(A176,'High Risk Non-Compliant'!B:K,$H$48,FALSE)=0,"N/A",VLOOKUP(A176,'High Risk Non-Compliant'!B:K,$H$48,FALSE))</f>
        <v>#REF!</v>
      </c>
      <c r="H176" s="144" t="e">
        <f>IF(G176="N/A","N/A",VLOOKUP(G176,'Crosswalk Detail'!A:B,2,FALSE))</f>
        <v>#REF!</v>
      </c>
    </row>
    <row r="177" spans="1:8" ht="144" customHeight="1" x14ac:dyDescent="0.2">
      <c r="A177" s="145">
        <f>'High Risk Non-Compliant'!B133</f>
        <v>0</v>
      </c>
      <c r="B177" s="343">
        <f>'High Risk Non-Compliant'!C133</f>
        <v>0</v>
      </c>
      <c r="C177" s="343"/>
      <c r="D177" s="344">
        <f>'High Risk Non-Compliant'!D133</f>
        <v>0</v>
      </c>
      <c r="E177" s="344"/>
      <c r="F177" s="344"/>
      <c r="G177" s="144" t="e">
        <f>IF(VLOOKUP(A177,'High Risk Non-Compliant'!B:K,$H$48,FALSE)=0,"N/A",VLOOKUP(A177,'High Risk Non-Compliant'!B:K,$H$48,FALSE))</f>
        <v>#REF!</v>
      </c>
      <c r="H177" s="144" t="e">
        <f>IF(G177="N/A","N/A",VLOOKUP(G177,'Crosswalk Detail'!A:B,2,FALSE))</f>
        <v>#REF!</v>
      </c>
    </row>
    <row r="178" spans="1:8" ht="144" customHeight="1" x14ac:dyDescent="0.2">
      <c r="A178" s="145">
        <f>'High Risk Non-Compliant'!B134</f>
        <v>0</v>
      </c>
      <c r="B178" s="343">
        <f>'High Risk Non-Compliant'!C134</f>
        <v>0</v>
      </c>
      <c r="C178" s="343"/>
      <c r="D178" s="344">
        <f>'High Risk Non-Compliant'!D134</f>
        <v>0</v>
      </c>
      <c r="E178" s="344"/>
      <c r="F178" s="344"/>
      <c r="G178" s="144" t="e">
        <f>IF(VLOOKUP(A178,'High Risk Non-Compliant'!B:K,$H$48,FALSE)=0,"N/A",VLOOKUP(A178,'High Risk Non-Compliant'!B:K,$H$48,FALSE))</f>
        <v>#REF!</v>
      </c>
      <c r="H178" s="144" t="e">
        <f>IF(G178="N/A","N/A",VLOOKUP(G178,'Crosswalk Detail'!A:B,2,FALSE))</f>
        <v>#REF!</v>
      </c>
    </row>
    <row r="179" spans="1:8" ht="144" customHeight="1" x14ac:dyDescent="0.2">
      <c r="A179" s="145">
        <f>'High Risk Non-Compliant'!B135</f>
        <v>0</v>
      </c>
      <c r="B179" s="343">
        <f>'High Risk Non-Compliant'!C135</f>
        <v>0</v>
      </c>
      <c r="C179" s="343"/>
      <c r="D179" s="344">
        <f>'High Risk Non-Compliant'!D135</f>
        <v>0</v>
      </c>
      <c r="E179" s="344"/>
      <c r="F179" s="344"/>
      <c r="G179" s="144" t="e">
        <f>IF(VLOOKUP(A179,'High Risk Non-Compliant'!B:K,$H$48,FALSE)=0,"N/A",VLOOKUP(A179,'High Risk Non-Compliant'!B:K,$H$48,FALSE))</f>
        <v>#REF!</v>
      </c>
      <c r="H179" s="144" t="e">
        <f>IF(G179="N/A","N/A",VLOOKUP(G179,'Crosswalk Detail'!A:B,2,FALSE))</f>
        <v>#REF!</v>
      </c>
    </row>
    <row r="180" spans="1:8" ht="144" customHeight="1" x14ac:dyDescent="0.2">
      <c r="A180" s="145">
        <f>'High Risk Non-Compliant'!B136</f>
        <v>0</v>
      </c>
      <c r="B180" s="343">
        <f>'High Risk Non-Compliant'!C136</f>
        <v>0</v>
      </c>
      <c r="C180" s="343"/>
      <c r="D180" s="344">
        <f>'High Risk Non-Compliant'!D136</f>
        <v>0</v>
      </c>
      <c r="E180" s="344"/>
      <c r="F180" s="344"/>
      <c r="G180" s="144" t="e">
        <f>IF(VLOOKUP(A180,'High Risk Non-Compliant'!B:K,$H$48,FALSE)=0,"N/A",VLOOKUP(A180,'High Risk Non-Compliant'!B:K,$H$48,FALSE))</f>
        <v>#REF!</v>
      </c>
      <c r="H180" s="144" t="e">
        <f>IF(G180="N/A","N/A",VLOOKUP(G180,'Crosswalk Detail'!A:B,2,FALSE))</f>
        <v>#REF!</v>
      </c>
    </row>
    <row r="181" spans="1:8" ht="144" customHeight="1" x14ac:dyDescent="0.2">
      <c r="A181" s="145">
        <f>'High Risk Non-Compliant'!B137</f>
        <v>0</v>
      </c>
      <c r="B181" s="343">
        <f>'High Risk Non-Compliant'!C137</f>
        <v>0</v>
      </c>
      <c r="C181" s="343"/>
      <c r="D181" s="344">
        <f>'High Risk Non-Compliant'!D137</f>
        <v>0</v>
      </c>
      <c r="E181" s="344"/>
      <c r="F181" s="344"/>
      <c r="G181" s="144" t="e">
        <f>IF(VLOOKUP(A181,'High Risk Non-Compliant'!B:K,$H$48,FALSE)=0,"N/A",VLOOKUP(A181,'High Risk Non-Compliant'!B:K,$H$48,FALSE))</f>
        <v>#REF!</v>
      </c>
      <c r="H181" s="144" t="e">
        <f>IF(G181="N/A","N/A",VLOOKUP(G181,'Crosswalk Detail'!A:B,2,FALSE))</f>
        <v>#REF!</v>
      </c>
    </row>
    <row r="182" spans="1:8" ht="144" customHeight="1" x14ac:dyDescent="0.2">
      <c r="A182" s="145">
        <f>'High Risk Non-Compliant'!B138</f>
        <v>0</v>
      </c>
      <c r="B182" s="343">
        <f>'High Risk Non-Compliant'!C138</f>
        <v>0</v>
      </c>
      <c r="C182" s="343"/>
      <c r="D182" s="344">
        <f>'High Risk Non-Compliant'!D138</f>
        <v>0</v>
      </c>
      <c r="E182" s="344"/>
      <c r="F182" s="344"/>
      <c r="G182" s="144" t="e">
        <f>IF(VLOOKUP(A182,'High Risk Non-Compliant'!B:K,$H$48,FALSE)=0,"N/A",VLOOKUP(A182,'High Risk Non-Compliant'!B:K,$H$48,FALSE))</f>
        <v>#REF!</v>
      </c>
      <c r="H182" s="144" t="e">
        <f>IF(G182="N/A","N/A",VLOOKUP(G182,'Crosswalk Detail'!A:B,2,FALSE))</f>
        <v>#REF!</v>
      </c>
    </row>
    <row r="183" spans="1:8" ht="144" customHeight="1" x14ac:dyDescent="0.2">
      <c r="A183" s="145">
        <f>'High Risk Non-Compliant'!B139</f>
        <v>0</v>
      </c>
      <c r="B183" s="343">
        <f>'High Risk Non-Compliant'!C139</f>
        <v>0</v>
      </c>
      <c r="C183" s="343"/>
      <c r="D183" s="344">
        <f>'High Risk Non-Compliant'!D139</f>
        <v>0</v>
      </c>
      <c r="E183" s="344"/>
      <c r="F183" s="344"/>
      <c r="G183" s="144" t="e">
        <f>IF(VLOOKUP(A183,'High Risk Non-Compliant'!B:K,$H$48,FALSE)=0,"N/A",VLOOKUP(A183,'High Risk Non-Compliant'!B:K,$H$48,FALSE))</f>
        <v>#REF!</v>
      </c>
      <c r="H183" s="144" t="e">
        <f>IF(G183="N/A","N/A",VLOOKUP(G183,'Crosswalk Detail'!A:B,2,FALSE))</f>
        <v>#REF!</v>
      </c>
    </row>
    <row r="184" spans="1:8" ht="144" customHeight="1" x14ac:dyDescent="0.2">
      <c r="A184" s="145">
        <f>'High Risk Non-Compliant'!B140</f>
        <v>0</v>
      </c>
      <c r="B184" s="343">
        <f>'High Risk Non-Compliant'!C140</f>
        <v>0</v>
      </c>
      <c r="C184" s="343"/>
      <c r="D184" s="344">
        <f>'High Risk Non-Compliant'!D140</f>
        <v>0</v>
      </c>
      <c r="E184" s="344"/>
      <c r="F184" s="344"/>
      <c r="G184" s="144" t="e">
        <f>IF(VLOOKUP(A184,'High Risk Non-Compliant'!B:K,$H$48,FALSE)=0,"N/A",VLOOKUP(A184,'High Risk Non-Compliant'!B:K,$H$48,FALSE))</f>
        <v>#REF!</v>
      </c>
      <c r="H184" s="144" t="e">
        <f>IF(G184="N/A","N/A",VLOOKUP(G184,'Crosswalk Detail'!A:B,2,FALSE))</f>
        <v>#REF!</v>
      </c>
    </row>
    <row r="185" spans="1:8" ht="144" customHeight="1" x14ac:dyDescent="0.2">
      <c r="A185" s="145">
        <f>'High Risk Non-Compliant'!B141</f>
        <v>0</v>
      </c>
      <c r="B185" s="343">
        <f>'High Risk Non-Compliant'!C141</f>
        <v>0</v>
      </c>
      <c r="C185" s="343"/>
      <c r="D185" s="344">
        <f>'High Risk Non-Compliant'!D141</f>
        <v>0</v>
      </c>
      <c r="E185" s="344"/>
      <c r="F185" s="344"/>
      <c r="G185" s="144" t="e">
        <f>IF(VLOOKUP(A185,'High Risk Non-Compliant'!B:K,$H$48,FALSE)=0,"N/A",VLOOKUP(A185,'High Risk Non-Compliant'!B:K,$H$48,FALSE))</f>
        <v>#REF!</v>
      </c>
      <c r="H185" s="144" t="e">
        <f>IF(G185="N/A","N/A",VLOOKUP(G185,'Crosswalk Detail'!A:B,2,FALSE))</f>
        <v>#REF!</v>
      </c>
    </row>
    <row r="186" spans="1:8" ht="144" customHeight="1" x14ac:dyDescent="0.2">
      <c r="A186" s="145">
        <f>'High Risk Non-Compliant'!B142</f>
        <v>0</v>
      </c>
      <c r="B186" s="343">
        <f>'High Risk Non-Compliant'!C142</f>
        <v>0</v>
      </c>
      <c r="C186" s="343"/>
      <c r="D186" s="344">
        <f>'High Risk Non-Compliant'!D142</f>
        <v>0</v>
      </c>
      <c r="E186" s="344"/>
      <c r="F186" s="344"/>
      <c r="G186" s="144" t="e">
        <f>IF(VLOOKUP(A186,'High Risk Non-Compliant'!B:K,$H$48,FALSE)=0,"N/A",VLOOKUP(A186,'High Risk Non-Compliant'!B:K,$H$48,FALSE))</f>
        <v>#REF!</v>
      </c>
      <c r="H186" s="144" t="e">
        <f>IF(G186="N/A","N/A",VLOOKUP(G186,'Crosswalk Detail'!A:B,2,FALSE))</f>
        <v>#REF!</v>
      </c>
    </row>
    <row r="187" spans="1:8" ht="144" customHeight="1" x14ac:dyDescent="0.2">
      <c r="A187" s="145">
        <f>'High Risk Non-Compliant'!B143</f>
        <v>0</v>
      </c>
      <c r="B187" s="343">
        <f>'High Risk Non-Compliant'!C143</f>
        <v>0</v>
      </c>
      <c r="C187" s="343"/>
      <c r="D187" s="344">
        <f>'High Risk Non-Compliant'!D143</f>
        <v>0</v>
      </c>
      <c r="E187" s="344"/>
      <c r="F187" s="344"/>
      <c r="G187" s="144" t="e">
        <f>IF(VLOOKUP(A187,'High Risk Non-Compliant'!B:K,$H$48,FALSE)=0,"N/A",VLOOKUP(A187,'High Risk Non-Compliant'!B:K,$H$48,FALSE))</f>
        <v>#REF!</v>
      </c>
      <c r="H187" s="144" t="e">
        <f>IF(G187="N/A","N/A",VLOOKUP(G187,'Crosswalk Detail'!A:B,2,FALSE))</f>
        <v>#REF!</v>
      </c>
    </row>
    <row r="188" spans="1:8" ht="144" customHeight="1" x14ac:dyDescent="0.2">
      <c r="A188" s="145">
        <f>'High Risk Non-Compliant'!B144</f>
        <v>0</v>
      </c>
      <c r="B188" s="343">
        <f>'High Risk Non-Compliant'!C144</f>
        <v>0</v>
      </c>
      <c r="C188" s="343"/>
      <c r="D188" s="344">
        <f>'High Risk Non-Compliant'!D144</f>
        <v>0</v>
      </c>
      <c r="E188" s="344"/>
      <c r="F188" s="344"/>
      <c r="G188" s="144" t="e">
        <f>IF(VLOOKUP(A188,'High Risk Non-Compliant'!B:K,$H$48,FALSE)=0,"N/A",VLOOKUP(A188,'High Risk Non-Compliant'!B:K,$H$48,FALSE))</f>
        <v>#REF!</v>
      </c>
      <c r="H188" s="144" t="e">
        <f>IF(G188="N/A","N/A",VLOOKUP(G188,'Crosswalk Detail'!A:B,2,FALSE))</f>
        <v>#REF!</v>
      </c>
    </row>
    <row r="189" spans="1:8" ht="144" customHeight="1" x14ac:dyDescent="0.2">
      <c r="A189" s="145">
        <f>'High Risk Non-Compliant'!B145</f>
        <v>0</v>
      </c>
      <c r="B189" s="343">
        <f>'High Risk Non-Compliant'!C145</f>
        <v>0</v>
      </c>
      <c r="C189" s="343"/>
      <c r="D189" s="344">
        <f>'High Risk Non-Compliant'!D145</f>
        <v>0</v>
      </c>
      <c r="E189" s="344"/>
      <c r="F189" s="344"/>
      <c r="G189" s="144" t="e">
        <f>IF(VLOOKUP(A189,'High Risk Non-Compliant'!B:K,$H$48,FALSE)=0,"N/A",VLOOKUP(A189,'High Risk Non-Compliant'!B:K,$H$48,FALSE))</f>
        <v>#REF!</v>
      </c>
      <c r="H189" s="144" t="e">
        <f>IF(G189="N/A","N/A",VLOOKUP(G189,'Crosswalk Detail'!A:B,2,FALSE))</f>
        <v>#REF!</v>
      </c>
    </row>
    <row r="190" spans="1:8" ht="144" customHeight="1" x14ac:dyDescent="0.2">
      <c r="A190" s="145">
        <f>'High Risk Non-Compliant'!B146</f>
        <v>0</v>
      </c>
      <c r="B190" s="343">
        <f>'High Risk Non-Compliant'!C146</f>
        <v>0</v>
      </c>
      <c r="C190" s="343"/>
      <c r="D190" s="344">
        <f>'High Risk Non-Compliant'!D146</f>
        <v>0</v>
      </c>
      <c r="E190" s="344"/>
      <c r="F190" s="344"/>
      <c r="G190" s="144" t="e">
        <f>IF(VLOOKUP(A190,'High Risk Non-Compliant'!B:K,$H$48,FALSE)=0,"N/A",VLOOKUP(A190,'High Risk Non-Compliant'!B:K,$H$48,FALSE))</f>
        <v>#REF!</v>
      </c>
      <c r="H190" s="144" t="e">
        <f>IF(G190="N/A","N/A",VLOOKUP(G190,'Crosswalk Detail'!A:B,2,FALSE))</f>
        <v>#REF!</v>
      </c>
    </row>
    <row r="191" spans="1:8" ht="144" customHeight="1" x14ac:dyDescent="0.2">
      <c r="A191" s="145">
        <f>'High Risk Non-Compliant'!B147</f>
        <v>0</v>
      </c>
      <c r="B191" s="343">
        <f>'High Risk Non-Compliant'!C147</f>
        <v>0</v>
      </c>
      <c r="C191" s="343"/>
      <c r="D191" s="344">
        <f>'High Risk Non-Compliant'!D147</f>
        <v>0</v>
      </c>
      <c r="E191" s="344"/>
      <c r="F191" s="344"/>
      <c r="G191" s="144" t="e">
        <f>IF(VLOOKUP(A191,'High Risk Non-Compliant'!B:K,$H$48,FALSE)=0,"N/A",VLOOKUP(A191,'High Risk Non-Compliant'!B:K,$H$48,FALSE))</f>
        <v>#REF!</v>
      </c>
      <c r="H191" s="144" t="e">
        <f>IF(G191="N/A","N/A",VLOOKUP(G191,'Crosswalk Detail'!A:B,2,FALSE))</f>
        <v>#REF!</v>
      </c>
    </row>
    <row r="192" spans="1:8" ht="144" customHeight="1" x14ac:dyDescent="0.2">
      <c r="A192" s="145">
        <f>'High Risk Non-Compliant'!B148</f>
        <v>0</v>
      </c>
      <c r="B192" s="343">
        <f>'High Risk Non-Compliant'!C148</f>
        <v>0</v>
      </c>
      <c r="C192" s="343"/>
      <c r="D192" s="344">
        <f>'High Risk Non-Compliant'!D148</f>
        <v>0</v>
      </c>
      <c r="E192" s="344"/>
      <c r="F192" s="344"/>
      <c r="G192" s="144" t="e">
        <f>IF(VLOOKUP(A192,'High Risk Non-Compliant'!B:K,$H$48,FALSE)=0,"N/A",VLOOKUP(A192,'High Risk Non-Compliant'!B:K,$H$48,FALSE))</f>
        <v>#REF!</v>
      </c>
      <c r="H192" s="144" t="e">
        <f>IF(G192="N/A","N/A",VLOOKUP(G192,'Crosswalk Detail'!A:B,2,FALSE))</f>
        <v>#REF!</v>
      </c>
    </row>
    <row r="193" spans="1:8" ht="144" customHeight="1" x14ac:dyDescent="0.2">
      <c r="A193" s="145">
        <f>'High Risk Non-Compliant'!B149</f>
        <v>0</v>
      </c>
      <c r="B193" s="343">
        <f>'High Risk Non-Compliant'!C149</f>
        <v>0</v>
      </c>
      <c r="C193" s="343"/>
      <c r="D193" s="344">
        <f>'High Risk Non-Compliant'!D149</f>
        <v>0</v>
      </c>
      <c r="E193" s="344"/>
      <c r="F193" s="344"/>
      <c r="G193" s="144" t="e">
        <f>IF(VLOOKUP(A193,'High Risk Non-Compliant'!B:K,$H$48,FALSE)=0,"N/A",VLOOKUP(A193,'High Risk Non-Compliant'!B:K,$H$48,FALSE))</f>
        <v>#REF!</v>
      </c>
      <c r="H193" s="144" t="e">
        <f>IF(G193="N/A","N/A",VLOOKUP(G193,'Crosswalk Detail'!A:B,2,FALSE))</f>
        <v>#REF!</v>
      </c>
    </row>
    <row r="194" spans="1:8" ht="144" customHeight="1" x14ac:dyDescent="0.2">
      <c r="A194" s="145">
        <f>'High Risk Non-Compliant'!B150</f>
        <v>0</v>
      </c>
      <c r="B194" s="343">
        <f>'High Risk Non-Compliant'!C150</f>
        <v>0</v>
      </c>
      <c r="C194" s="343"/>
      <c r="D194" s="344">
        <f>'High Risk Non-Compliant'!D150</f>
        <v>0</v>
      </c>
      <c r="E194" s="344"/>
      <c r="F194" s="344"/>
      <c r="G194" s="144" t="e">
        <f>IF(VLOOKUP(A194,'High Risk Non-Compliant'!B:K,$H$48,FALSE)=0,"N/A",VLOOKUP(A194,'High Risk Non-Compliant'!B:K,$H$48,FALSE))</f>
        <v>#REF!</v>
      </c>
      <c r="H194" s="144" t="e">
        <f>IF(G194="N/A","N/A",VLOOKUP(G194,'Crosswalk Detail'!A:B,2,FALSE))</f>
        <v>#REF!</v>
      </c>
    </row>
    <row r="195" spans="1:8" ht="144" customHeight="1" x14ac:dyDescent="0.2">
      <c r="A195" s="145">
        <f>'High Risk Non-Compliant'!B151</f>
        <v>0</v>
      </c>
      <c r="B195" s="343">
        <f>'High Risk Non-Compliant'!C151</f>
        <v>0</v>
      </c>
      <c r="C195" s="343"/>
      <c r="D195" s="344">
        <f>'High Risk Non-Compliant'!D151</f>
        <v>0</v>
      </c>
      <c r="E195" s="344"/>
      <c r="F195" s="344"/>
      <c r="G195" s="144" t="e">
        <f>IF(VLOOKUP(A195,'High Risk Non-Compliant'!B:K,$H$48,FALSE)=0,"N/A",VLOOKUP(A195,'High Risk Non-Compliant'!B:K,$H$48,FALSE))</f>
        <v>#REF!</v>
      </c>
      <c r="H195" s="144" t="e">
        <f>IF(G195="N/A","N/A",VLOOKUP(G195,'Crosswalk Detail'!A:B,2,FALSE))</f>
        <v>#REF!</v>
      </c>
    </row>
    <row r="196" spans="1:8" ht="144" customHeight="1" x14ac:dyDescent="0.2">
      <c r="A196" s="145">
        <f>'High Risk Non-Compliant'!B152</f>
        <v>0</v>
      </c>
      <c r="B196" s="343">
        <f>'High Risk Non-Compliant'!C152</f>
        <v>0</v>
      </c>
      <c r="C196" s="343"/>
      <c r="D196" s="344">
        <f>'High Risk Non-Compliant'!D152</f>
        <v>0</v>
      </c>
      <c r="E196" s="344"/>
      <c r="F196" s="344"/>
      <c r="G196" s="144" t="e">
        <f>IF(VLOOKUP(A196,'High Risk Non-Compliant'!B:K,$H$48,FALSE)=0,"N/A",VLOOKUP(A196,'High Risk Non-Compliant'!B:K,$H$48,FALSE))</f>
        <v>#REF!</v>
      </c>
      <c r="H196" s="144" t="e">
        <f>IF(G196="N/A","N/A",VLOOKUP(G196,'Crosswalk Detail'!A:B,2,FALSE))</f>
        <v>#REF!</v>
      </c>
    </row>
    <row r="197" spans="1:8" ht="144" customHeight="1" x14ac:dyDescent="0.2">
      <c r="A197" s="145">
        <f>'High Risk Non-Compliant'!B153</f>
        <v>0</v>
      </c>
      <c r="B197" s="343">
        <f>'High Risk Non-Compliant'!C153</f>
        <v>0</v>
      </c>
      <c r="C197" s="343"/>
      <c r="D197" s="344">
        <f>'High Risk Non-Compliant'!D153</f>
        <v>0</v>
      </c>
      <c r="E197" s="344"/>
      <c r="F197" s="344"/>
      <c r="G197" s="144" t="e">
        <f>IF(VLOOKUP(A197,'High Risk Non-Compliant'!B:K,$H$48,FALSE)=0,"N/A",VLOOKUP(A197,'High Risk Non-Compliant'!B:K,$H$48,FALSE))</f>
        <v>#REF!</v>
      </c>
      <c r="H197" s="144" t="e">
        <f>IF(G197="N/A","N/A",VLOOKUP(G197,'Crosswalk Detail'!A:B,2,FALSE))</f>
        <v>#REF!</v>
      </c>
    </row>
    <row r="198" spans="1:8" ht="144" customHeight="1" x14ac:dyDescent="0.2">
      <c r="A198" s="145">
        <f>'High Risk Non-Compliant'!B154</f>
        <v>0</v>
      </c>
      <c r="B198" s="343">
        <f>'High Risk Non-Compliant'!C154</f>
        <v>0</v>
      </c>
      <c r="C198" s="343"/>
      <c r="D198" s="344">
        <f>'High Risk Non-Compliant'!D154</f>
        <v>0</v>
      </c>
      <c r="E198" s="344"/>
      <c r="F198" s="344"/>
      <c r="G198" s="144" t="e">
        <f>IF(VLOOKUP(A198,'High Risk Non-Compliant'!B:K,$H$48,FALSE)=0,"N/A",VLOOKUP(A198,'High Risk Non-Compliant'!B:K,$H$48,FALSE))</f>
        <v>#REF!</v>
      </c>
      <c r="H198" s="144" t="e">
        <f>IF(G198="N/A","N/A",VLOOKUP(G198,'Crosswalk Detail'!A:B,2,FALSE))</f>
        <v>#REF!</v>
      </c>
    </row>
    <row r="199" spans="1:8" ht="144" customHeight="1" x14ac:dyDescent="0.2">
      <c r="A199" s="145">
        <f>'High Risk Non-Compliant'!B155</f>
        <v>0</v>
      </c>
      <c r="B199" s="343">
        <f>'High Risk Non-Compliant'!C155</f>
        <v>0</v>
      </c>
      <c r="C199" s="343"/>
      <c r="D199" s="344">
        <f>'High Risk Non-Compliant'!D155</f>
        <v>0</v>
      </c>
      <c r="E199" s="344"/>
      <c r="F199" s="344"/>
      <c r="G199" s="144" t="e">
        <f>IF(VLOOKUP(A199,'High Risk Non-Compliant'!B:K,$H$48,FALSE)=0,"N/A",VLOOKUP(A199,'High Risk Non-Compliant'!B:K,$H$48,FALSE))</f>
        <v>#REF!</v>
      </c>
      <c r="H199" s="144" t="e">
        <f>IF(G199="N/A","N/A",VLOOKUP(G199,'Crosswalk Detail'!A:B,2,FALSE))</f>
        <v>#REF!</v>
      </c>
    </row>
    <row r="200" spans="1:8" ht="144" customHeight="1" x14ac:dyDescent="0.2">
      <c r="A200" s="145">
        <f>'High Risk Non-Compliant'!B156</f>
        <v>0</v>
      </c>
      <c r="B200" s="343">
        <f>'High Risk Non-Compliant'!C156</f>
        <v>0</v>
      </c>
      <c r="C200" s="343"/>
      <c r="D200" s="344">
        <f>'High Risk Non-Compliant'!D156</f>
        <v>0</v>
      </c>
      <c r="E200" s="344"/>
      <c r="F200" s="344"/>
      <c r="G200" s="144" t="e">
        <f>IF(VLOOKUP(A200,'High Risk Non-Compliant'!B:K,$H$48,FALSE)=0,"N/A",VLOOKUP(A200,'High Risk Non-Compliant'!B:K,$H$48,FALSE))</f>
        <v>#REF!</v>
      </c>
      <c r="H200" s="144" t="e">
        <f>IF(G200="N/A","N/A",VLOOKUP(G200,'Crosswalk Detail'!A:B,2,FALSE))</f>
        <v>#REF!</v>
      </c>
    </row>
    <row r="201" spans="1:8" ht="144" customHeight="1" x14ac:dyDescent="0.2">
      <c r="A201" s="145">
        <f>'High Risk Non-Compliant'!B157</f>
        <v>0</v>
      </c>
      <c r="B201" s="343">
        <f>'High Risk Non-Compliant'!C157</f>
        <v>0</v>
      </c>
      <c r="C201" s="343"/>
      <c r="D201" s="344">
        <f>'High Risk Non-Compliant'!D157</f>
        <v>0</v>
      </c>
      <c r="E201" s="344"/>
      <c r="F201" s="344"/>
      <c r="G201" s="144" t="e">
        <f>IF(VLOOKUP(A201,'High Risk Non-Compliant'!B:K,$H$48,FALSE)=0,"N/A",VLOOKUP(A201,'High Risk Non-Compliant'!B:K,$H$48,FALSE))</f>
        <v>#REF!</v>
      </c>
      <c r="H201" s="144" t="e">
        <f>IF(G201="N/A","N/A",VLOOKUP(G201,'Crosswalk Detail'!A:B,2,FALSE))</f>
        <v>#REF!</v>
      </c>
    </row>
    <row r="202" spans="1:8" ht="144" customHeight="1" x14ac:dyDescent="0.2">
      <c r="A202" s="145">
        <f>'High Risk Non-Compliant'!B158</f>
        <v>0</v>
      </c>
      <c r="B202" s="343">
        <f>'High Risk Non-Compliant'!C158</f>
        <v>0</v>
      </c>
      <c r="C202" s="343"/>
      <c r="D202" s="344">
        <f>'High Risk Non-Compliant'!D158</f>
        <v>0</v>
      </c>
      <c r="E202" s="344"/>
      <c r="F202" s="344"/>
      <c r="G202" s="144" t="e">
        <f>IF(VLOOKUP(A202,'High Risk Non-Compliant'!B:K,$H$48,FALSE)=0,"N/A",VLOOKUP(A202,'High Risk Non-Compliant'!B:K,$H$48,FALSE))</f>
        <v>#REF!</v>
      </c>
      <c r="H202" s="144" t="e">
        <f>IF(G202="N/A","N/A",VLOOKUP(G202,'Crosswalk Detail'!A:B,2,FALSE))</f>
        <v>#REF!</v>
      </c>
    </row>
    <row r="203" spans="1:8" ht="144" customHeight="1" x14ac:dyDescent="0.2">
      <c r="A203" s="145">
        <f>'High Risk Non-Compliant'!B159</f>
        <v>0</v>
      </c>
      <c r="B203" s="343">
        <f>'High Risk Non-Compliant'!C159</f>
        <v>0</v>
      </c>
      <c r="C203" s="343"/>
      <c r="D203" s="344">
        <f>'High Risk Non-Compliant'!D159</f>
        <v>0</v>
      </c>
      <c r="E203" s="344"/>
      <c r="F203" s="344"/>
      <c r="G203" s="144" t="e">
        <f>IF(VLOOKUP(A203,'High Risk Non-Compliant'!B:K,$H$48,FALSE)=0,"N/A",VLOOKUP(A203,'High Risk Non-Compliant'!B:K,$H$48,FALSE))</f>
        <v>#REF!</v>
      </c>
      <c r="H203" s="144" t="e">
        <f>IF(G203="N/A","N/A",VLOOKUP(G203,'Crosswalk Detail'!A:B,2,FALSE))</f>
        <v>#REF!</v>
      </c>
    </row>
    <row r="204" spans="1:8" ht="144" customHeight="1" x14ac:dyDescent="0.2">
      <c r="A204" s="145">
        <f>'High Risk Non-Compliant'!B160</f>
        <v>0</v>
      </c>
      <c r="B204" s="343">
        <f>'High Risk Non-Compliant'!C160</f>
        <v>0</v>
      </c>
      <c r="C204" s="343"/>
      <c r="D204" s="344">
        <f>'High Risk Non-Compliant'!D160</f>
        <v>0</v>
      </c>
      <c r="E204" s="344"/>
      <c r="F204" s="344"/>
      <c r="G204" s="144" t="e">
        <f>IF(VLOOKUP(A204,'High Risk Non-Compliant'!B:K,$H$48,FALSE)=0,"N/A",VLOOKUP(A204,'High Risk Non-Compliant'!B:K,$H$48,FALSE))</f>
        <v>#REF!</v>
      </c>
      <c r="H204" s="144" t="e">
        <f>IF(G204="N/A","N/A",VLOOKUP(G204,'Crosswalk Detail'!A:B,2,FALSE))</f>
        <v>#REF!</v>
      </c>
    </row>
    <row r="205" spans="1:8" ht="144" customHeight="1" x14ac:dyDescent="0.2">
      <c r="A205" s="145">
        <f>'High Risk Non-Compliant'!B161</f>
        <v>0</v>
      </c>
      <c r="B205" s="343">
        <f>'High Risk Non-Compliant'!C161</f>
        <v>0</v>
      </c>
      <c r="C205" s="343"/>
      <c r="D205" s="344">
        <f>'High Risk Non-Compliant'!D161</f>
        <v>0</v>
      </c>
      <c r="E205" s="344"/>
      <c r="F205" s="344"/>
      <c r="G205" s="144" t="e">
        <f>IF(VLOOKUP(A205,'High Risk Non-Compliant'!B:K,$H$48,FALSE)=0,"N/A",VLOOKUP(A205,'High Risk Non-Compliant'!B:K,$H$48,FALSE))</f>
        <v>#REF!</v>
      </c>
      <c r="H205" s="144" t="e">
        <f>IF(G205="N/A","N/A",VLOOKUP(G205,'Crosswalk Detail'!A:B,2,FALSE))</f>
        <v>#REF!</v>
      </c>
    </row>
    <row r="206" spans="1:8" ht="144" customHeight="1" x14ac:dyDescent="0.2">
      <c r="A206" s="145">
        <f>'High Risk Non-Compliant'!B162</f>
        <v>0</v>
      </c>
      <c r="B206" s="343">
        <f>'High Risk Non-Compliant'!C162</f>
        <v>0</v>
      </c>
      <c r="C206" s="343"/>
      <c r="D206" s="344">
        <f>'High Risk Non-Compliant'!D162</f>
        <v>0</v>
      </c>
      <c r="E206" s="344"/>
      <c r="F206" s="344"/>
      <c r="G206" s="144" t="e">
        <f>IF(VLOOKUP(A206,'High Risk Non-Compliant'!B:K,$H$48,FALSE)=0,"N/A",VLOOKUP(A206,'High Risk Non-Compliant'!B:K,$H$48,FALSE))</f>
        <v>#REF!</v>
      </c>
      <c r="H206" s="144" t="e">
        <f>IF(G206="N/A","N/A",VLOOKUP(G206,'Crosswalk Detail'!A:B,2,FALSE))</f>
        <v>#REF!</v>
      </c>
    </row>
    <row r="207" spans="1:8" ht="144" customHeight="1" x14ac:dyDescent="0.2">
      <c r="A207" s="145">
        <f>'High Risk Non-Compliant'!B163</f>
        <v>0</v>
      </c>
      <c r="B207" s="343">
        <f>'High Risk Non-Compliant'!C163</f>
        <v>0</v>
      </c>
      <c r="C207" s="343"/>
      <c r="D207" s="344">
        <f>'High Risk Non-Compliant'!D163</f>
        <v>0</v>
      </c>
      <c r="E207" s="344"/>
      <c r="F207" s="344"/>
      <c r="G207" s="144" t="e">
        <f>IF(VLOOKUP(A207,'High Risk Non-Compliant'!B:K,$H$48,FALSE)=0,"N/A",VLOOKUP(A207,'High Risk Non-Compliant'!B:K,$H$48,FALSE))</f>
        <v>#REF!</v>
      </c>
      <c r="H207" s="144" t="e">
        <f>IF(G207="N/A","N/A",VLOOKUP(G207,'Crosswalk Detail'!A:B,2,FALSE))</f>
        <v>#REF!</v>
      </c>
    </row>
    <row r="208" spans="1:8" ht="144" customHeight="1" x14ac:dyDescent="0.2">
      <c r="A208" s="145">
        <f>'High Risk Non-Compliant'!B164</f>
        <v>0</v>
      </c>
      <c r="B208" s="343">
        <f>'High Risk Non-Compliant'!C164</f>
        <v>0</v>
      </c>
      <c r="C208" s="343"/>
      <c r="D208" s="344">
        <f>'High Risk Non-Compliant'!D164</f>
        <v>0</v>
      </c>
      <c r="E208" s="344"/>
      <c r="F208" s="344"/>
      <c r="G208" s="144" t="e">
        <f>IF(VLOOKUP(A208,'High Risk Non-Compliant'!B:K,$H$48,FALSE)=0,"N/A",VLOOKUP(A208,'High Risk Non-Compliant'!B:K,$H$48,FALSE))</f>
        <v>#REF!</v>
      </c>
      <c r="H208" s="144" t="e">
        <f>IF(G208="N/A","N/A",VLOOKUP(G208,'Crosswalk Detail'!A:B,2,FALSE))</f>
        <v>#REF!</v>
      </c>
    </row>
    <row r="209" spans="1:8" ht="144" customHeight="1" x14ac:dyDescent="0.2">
      <c r="A209" s="145">
        <f>'High Risk Non-Compliant'!B165</f>
        <v>0</v>
      </c>
      <c r="B209" s="343">
        <f>'High Risk Non-Compliant'!C165</f>
        <v>0</v>
      </c>
      <c r="C209" s="343"/>
      <c r="D209" s="344">
        <f>'High Risk Non-Compliant'!D165</f>
        <v>0</v>
      </c>
      <c r="E209" s="344"/>
      <c r="F209" s="344"/>
      <c r="G209" s="144" t="e">
        <f>IF(VLOOKUP(A209,'High Risk Non-Compliant'!B:K,$H$48,FALSE)=0,"N/A",VLOOKUP(A209,'High Risk Non-Compliant'!B:K,$H$48,FALSE))</f>
        <v>#REF!</v>
      </c>
      <c r="H209" s="144" t="e">
        <f>IF(G209="N/A","N/A",VLOOKUP(G209,'Crosswalk Detail'!A:B,2,FALSE))</f>
        <v>#REF!</v>
      </c>
    </row>
    <row r="210" spans="1:8" ht="144" customHeight="1" x14ac:dyDescent="0.2">
      <c r="A210" s="145">
        <f>'High Risk Non-Compliant'!B166</f>
        <v>0</v>
      </c>
      <c r="B210" s="343">
        <f>'High Risk Non-Compliant'!C166</f>
        <v>0</v>
      </c>
      <c r="C210" s="343"/>
      <c r="D210" s="344">
        <f>'High Risk Non-Compliant'!D166</f>
        <v>0</v>
      </c>
      <c r="E210" s="344"/>
      <c r="F210" s="344"/>
      <c r="G210" s="144" t="e">
        <f>IF(VLOOKUP(A210,'High Risk Non-Compliant'!B:K,$H$48,FALSE)=0,"N/A",VLOOKUP(A210,'High Risk Non-Compliant'!B:K,$H$48,FALSE))</f>
        <v>#REF!</v>
      </c>
      <c r="H210" s="144" t="e">
        <f>IF(G210="N/A","N/A",VLOOKUP(G210,'Crosswalk Detail'!A:B,2,FALSE))</f>
        <v>#REF!</v>
      </c>
    </row>
    <row r="211" spans="1:8" ht="144" customHeight="1" x14ac:dyDescent="0.2">
      <c r="A211" s="145">
        <f>'High Risk Non-Compliant'!B167</f>
        <v>0</v>
      </c>
      <c r="B211" s="343">
        <f>'High Risk Non-Compliant'!C167</f>
        <v>0</v>
      </c>
      <c r="C211" s="343"/>
      <c r="D211" s="344">
        <f>'High Risk Non-Compliant'!D167</f>
        <v>0</v>
      </c>
      <c r="E211" s="344"/>
      <c r="F211" s="344"/>
      <c r="G211" s="144" t="e">
        <f>IF(VLOOKUP(A211,'High Risk Non-Compliant'!B:K,$H$48,FALSE)=0,"N/A",VLOOKUP(A211,'High Risk Non-Compliant'!B:K,$H$48,FALSE))</f>
        <v>#REF!</v>
      </c>
      <c r="H211" s="144" t="e">
        <f>IF(G211="N/A","N/A",VLOOKUP(G211,'Crosswalk Detail'!A:B,2,FALSE))</f>
        <v>#REF!</v>
      </c>
    </row>
    <row r="212" spans="1:8" ht="144" customHeight="1" x14ac:dyDescent="0.2">
      <c r="A212" s="145">
        <f>'High Risk Non-Compliant'!B168</f>
        <v>0</v>
      </c>
      <c r="B212" s="343">
        <f>'High Risk Non-Compliant'!C168</f>
        <v>0</v>
      </c>
      <c r="C212" s="343"/>
      <c r="D212" s="344">
        <f>'High Risk Non-Compliant'!D168</f>
        <v>0</v>
      </c>
      <c r="E212" s="344"/>
      <c r="F212" s="344"/>
      <c r="G212" s="144" t="e">
        <f>IF(VLOOKUP(A212,'High Risk Non-Compliant'!B:K,$H$48,FALSE)=0,"N/A",VLOOKUP(A212,'High Risk Non-Compliant'!B:K,$H$48,FALSE))</f>
        <v>#REF!</v>
      </c>
      <c r="H212" s="144" t="e">
        <f>IF(G212="N/A","N/A",VLOOKUP(G212,'Crosswalk Detail'!A:B,2,FALSE))</f>
        <v>#REF!</v>
      </c>
    </row>
    <row r="213" spans="1:8" ht="144" customHeight="1" x14ac:dyDescent="0.2">
      <c r="A213" s="145">
        <f>'High Risk Non-Compliant'!B169</f>
        <v>0</v>
      </c>
      <c r="B213" s="343">
        <f>'High Risk Non-Compliant'!C169</f>
        <v>0</v>
      </c>
      <c r="C213" s="343"/>
      <c r="D213" s="344">
        <f>'High Risk Non-Compliant'!D169</f>
        <v>0</v>
      </c>
      <c r="E213" s="344"/>
      <c r="F213" s="344"/>
      <c r="G213" s="144" t="e">
        <f>IF(VLOOKUP(A213,'High Risk Non-Compliant'!B:K,$H$48,FALSE)=0,"N/A",VLOOKUP(A213,'High Risk Non-Compliant'!B:K,$H$48,FALSE))</f>
        <v>#REF!</v>
      </c>
      <c r="H213" s="144" t="e">
        <f>IF(G213="N/A","N/A",VLOOKUP(G213,'Crosswalk Detail'!A:B,2,FALSE))</f>
        <v>#REF!</v>
      </c>
    </row>
    <row r="214" spans="1:8" ht="144" customHeight="1" x14ac:dyDescent="0.2">
      <c r="A214" s="145">
        <f>'High Risk Non-Compliant'!B170</f>
        <v>0</v>
      </c>
      <c r="B214" s="343">
        <f>'High Risk Non-Compliant'!C170</f>
        <v>0</v>
      </c>
      <c r="C214" s="343"/>
      <c r="D214" s="344">
        <f>'High Risk Non-Compliant'!D170</f>
        <v>0</v>
      </c>
      <c r="E214" s="344"/>
      <c r="F214" s="344"/>
      <c r="G214" s="144" t="e">
        <f>IF(VLOOKUP(A214,'High Risk Non-Compliant'!B:K,$H$48,FALSE)=0,"N/A",VLOOKUP(A214,'High Risk Non-Compliant'!B:K,$H$48,FALSE))</f>
        <v>#REF!</v>
      </c>
      <c r="H214" s="144" t="e">
        <f>IF(G214="N/A","N/A",VLOOKUP(G214,'Crosswalk Detail'!A:B,2,FALSE))</f>
        <v>#REF!</v>
      </c>
    </row>
    <row r="215" spans="1:8" ht="144" customHeight="1" x14ac:dyDescent="0.2">
      <c r="A215" s="145">
        <f>'High Risk Non-Compliant'!B171</f>
        <v>0</v>
      </c>
      <c r="B215" s="343">
        <f>'High Risk Non-Compliant'!C171</f>
        <v>0</v>
      </c>
      <c r="C215" s="343"/>
      <c r="D215" s="344">
        <f>'High Risk Non-Compliant'!D171</f>
        <v>0</v>
      </c>
      <c r="E215" s="344"/>
      <c r="F215" s="344"/>
      <c r="G215" s="144" t="e">
        <f>IF(VLOOKUP(A215,'High Risk Non-Compliant'!B:K,$H$48,FALSE)=0,"N/A",VLOOKUP(A215,'High Risk Non-Compliant'!B:K,$H$48,FALSE))</f>
        <v>#REF!</v>
      </c>
      <c r="H215" s="144" t="e">
        <f>IF(G215="N/A","N/A",VLOOKUP(G215,'Crosswalk Detail'!A:B,2,FALSE))</f>
        <v>#REF!</v>
      </c>
    </row>
    <row r="216" spans="1:8" ht="144" customHeight="1" x14ac:dyDescent="0.2">
      <c r="A216" s="145">
        <f>'High Risk Non-Compliant'!B172</f>
        <v>0</v>
      </c>
      <c r="B216" s="343">
        <f>'High Risk Non-Compliant'!C172</f>
        <v>0</v>
      </c>
      <c r="C216" s="343"/>
      <c r="D216" s="344">
        <f>'High Risk Non-Compliant'!D172</f>
        <v>0</v>
      </c>
      <c r="E216" s="344"/>
      <c r="F216" s="344"/>
      <c r="G216" s="144" t="e">
        <f>IF(VLOOKUP(A216,'High Risk Non-Compliant'!B:K,$H$48,FALSE)=0,"N/A",VLOOKUP(A216,'High Risk Non-Compliant'!B:K,$H$48,FALSE))</f>
        <v>#REF!</v>
      </c>
      <c r="H216" s="144" t="e">
        <f>IF(G216="N/A","N/A",VLOOKUP(G216,'Crosswalk Detail'!A:B,2,FALSE))</f>
        <v>#REF!</v>
      </c>
    </row>
    <row r="217" spans="1:8" ht="144" customHeight="1" x14ac:dyDescent="0.2">
      <c r="A217" s="146">
        <f>'High Risk Non-Compliant'!B173</f>
        <v>0</v>
      </c>
      <c r="B217" s="344">
        <f>'High Risk Non-Compliant'!C173</f>
        <v>0</v>
      </c>
      <c r="C217" s="344"/>
      <c r="D217" s="344">
        <f>'High Risk Non-Compliant'!D173</f>
        <v>0</v>
      </c>
      <c r="E217" s="344"/>
      <c r="F217" s="344"/>
      <c r="G217" s="144" t="e">
        <f>IF(VLOOKUP(A217,'High Risk Non-Compliant'!B:K,$H$48,FALSE)=0,"N/A",VLOOKUP(A217,'High Risk Non-Compliant'!B:K,$H$48,FALSE))</f>
        <v>#REF!</v>
      </c>
      <c r="H217" s="144" t="e">
        <f>IF(G217="N/A","N/A",VLOOKUP(G217,'Crosswalk Detail'!A:B,2,FALSE))</f>
        <v>#REF!</v>
      </c>
    </row>
    <row r="218" spans="1:8" ht="144" customHeight="1" x14ac:dyDescent="0.2">
      <c r="A218" s="146">
        <f>'High Risk Non-Compliant'!B174</f>
        <v>0</v>
      </c>
      <c r="B218" s="344">
        <f>'High Risk Non-Compliant'!C174</f>
        <v>0</v>
      </c>
      <c r="C218" s="344"/>
      <c r="D218" s="344">
        <f>'High Risk Non-Compliant'!D174</f>
        <v>0</v>
      </c>
      <c r="E218" s="344"/>
      <c r="F218" s="344"/>
      <c r="G218" s="144" t="e">
        <f>IF(VLOOKUP(A218,'High Risk Non-Compliant'!B:K,$H$48,FALSE)=0,"N/A",VLOOKUP(A218,'High Risk Non-Compliant'!B:K,$H$48,FALSE))</f>
        <v>#REF!</v>
      </c>
      <c r="H218" s="144" t="e">
        <f>IF(G218="N/A","N/A",VLOOKUP(G218,'Crosswalk Detail'!A:B,2,FALSE))</f>
        <v>#REF!</v>
      </c>
    </row>
    <row r="219" spans="1:8" ht="144" customHeight="1" x14ac:dyDescent="0.2">
      <c r="A219" s="146">
        <f>'High Risk Non-Compliant'!B175</f>
        <v>0</v>
      </c>
      <c r="B219" s="344">
        <f>'High Risk Non-Compliant'!C175</f>
        <v>0</v>
      </c>
      <c r="C219" s="344"/>
      <c r="D219" s="344">
        <f>'High Risk Non-Compliant'!D175</f>
        <v>0</v>
      </c>
      <c r="E219" s="344"/>
      <c r="F219" s="344"/>
      <c r="G219" s="144" t="e">
        <f>IF(VLOOKUP(A219,'High Risk Non-Compliant'!B:K,$H$48,FALSE)=0,"N/A",VLOOKUP(A219,'High Risk Non-Compliant'!B:K,$H$48,FALSE))</f>
        <v>#REF!</v>
      </c>
      <c r="H219" s="144" t="e">
        <f>IF(G219="N/A","N/A",VLOOKUP(G219,'Crosswalk Detail'!A:B,2,FALSE))</f>
        <v>#REF!</v>
      </c>
    </row>
    <row r="220" spans="1:8" ht="144" customHeight="1" x14ac:dyDescent="0.2">
      <c r="A220" s="146">
        <f>'High Risk Non-Compliant'!B176</f>
        <v>0</v>
      </c>
      <c r="B220" s="344">
        <f>'High Risk Non-Compliant'!C176</f>
        <v>0</v>
      </c>
      <c r="C220" s="344"/>
      <c r="D220" s="344">
        <f>'High Risk Non-Compliant'!D176</f>
        <v>0</v>
      </c>
      <c r="E220" s="344"/>
      <c r="F220" s="344"/>
      <c r="G220" s="144" t="e">
        <f>VLOOKUP(A220,'High Risk Non-Compliant'!B:K,$H$48,FALSE)</f>
        <v>#REF!</v>
      </c>
      <c r="H220" s="144" t="e">
        <f>VLOOKUP(G220,'Crosswalk Detail'!A:B,2,FALSE)</f>
        <v>#REF!</v>
      </c>
    </row>
    <row r="221" spans="1:8" ht="144" customHeight="1" x14ac:dyDescent="0.2">
      <c r="A221" s="146">
        <f>'High Risk Non-Compliant'!B177</f>
        <v>0</v>
      </c>
      <c r="B221" s="344">
        <f>'High Risk Non-Compliant'!C177</f>
        <v>0</v>
      </c>
      <c r="C221" s="344"/>
      <c r="D221" s="344">
        <f>'High Risk Non-Compliant'!D177</f>
        <v>0</v>
      </c>
      <c r="E221" s="344"/>
      <c r="F221" s="344"/>
      <c r="G221" s="144" t="e">
        <f>VLOOKUP(A221,'High Risk Non-Compliant'!B:K,$H$48,FALSE)</f>
        <v>#REF!</v>
      </c>
      <c r="H221" s="144" t="e">
        <f>VLOOKUP(G221,'Crosswalk Detail'!A:B,2,FALSE)</f>
        <v>#REF!</v>
      </c>
    </row>
    <row r="222" spans="1:8" ht="144" customHeight="1" x14ac:dyDescent="0.2">
      <c r="A222" s="146">
        <f>'High Risk Non-Compliant'!B178</f>
        <v>0</v>
      </c>
      <c r="B222" s="344">
        <f>'High Risk Non-Compliant'!C178</f>
        <v>0</v>
      </c>
      <c r="C222" s="344"/>
      <c r="D222" s="344">
        <f>'High Risk Non-Compliant'!D178</f>
        <v>0</v>
      </c>
      <c r="E222" s="344"/>
      <c r="F222" s="344"/>
      <c r="G222" s="144" t="e">
        <f>VLOOKUP(A222,'High Risk Non-Compliant'!B:K,$H$48,FALSE)</f>
        <v>#REF!</v>
      </c>
      <c r="H222" s="144" t="e">
        <f>VLOOKUP(G222,'Crosswalk Detail'!A:B,2,FALSE)</f>
        <v>#REF!</v>
      </c>
    </row>
    <row r="223" spans="1:8" ht="144" customHeight="1" x14ac:dyDescent="0.2">
      <c r="A223" s="146">
        <f>'High Risk Non-Compliant'!B179</f>
        <v>0</v>
      </c>
      <c r="B223" s="344">
        <f>'High Risk Non-Compliant'!C179</f>
        <v>0</v>
      </c>
      <c r="C223" s="344"/>
      <c r="D223" s="344">
        <f>'High Risk Non-Compliant'!D179</f>
        <v>0</v>
      </c>
      <c r="E223" s="344"/>
      <c r="F223" s="344"/>
      <c r="G223" s="144" t="e">
        <f>VLOOKUP(A223,'High Risk Non-Compliant'!B:K,$H$48,FALSE)</f>
        <v>#REF!</v>
      </c>
      <c r="H223" s="144" t="e">
        <f>VLOOKUP(G223,'Crosswalk Detail'!A:B,2,FALSE)</f>
        <v>#REF!</v>
      </c>
    </row>
    <row r="224" spans="1:8" ht="144" customHeight="1" x14ac:dyDescent="0.2">
      <c r="A224" s="146">
        <f>'High Risk Non-Compliant'!B180</f>
        <v>0</v>
      </c>
      <c r="B224" s="344">
        <f>'High Risk Non-Compliant'!C180</f>
        <v>0</v>
      </c>
      <c r="C224" s="344"/>
      <c r="D224" s="344">
        <f>'High Risk Non-Compliant'!D180</f>
        <v>0</v>
      </c>
      <c r="E224" s="344"/>
      <c r="F224" s="344"/>
      <c r="G224" s="144" t="e">
        <f>VLOOKUP(A224,'High Risk Non-Compliant'!B:K,$H$48,FALSE)</f>
        <v>#REF!</v>
      </c>
      <c r="H224" s="144" t="e">
        <f>VLOOKUP(G224,'Crosswalk Detail'!A:B,2,FALSE)</f>
        <v>#REF!</v>
      </c>
    </row>
    <row r="225" spans="1:8" ht="144" customHeight="1" x14ac:dyDescent="0.2">
      <c r="A225" s="146">
        <f>'High Risk Non-Compliant'!B181</f>
        <v>0</v>
      </c>
      <c r="B225" s="344">
        <f>'High Risk Non-Compliant'!C181</f>
        <v>0</v>
      </c>
      <c r="C225" s="344"/>
      <c r="D225" s="344">
        <f>'High Risk Non-Compliant'!D181</f>
        <v>0</v>
      </c>
      <c r="E225" s="344"/>
      <c r="F225" s="344"/>
      <c r="G225" s="144" t="e">
        <f>VLOOKUP(A225,'High Risk Non-Compliant'!B:K,$H$48,FALSE)</f>
        <v>#REF!</v>
      </c>
      <c r="H225" s="144" t="e">
        <f>VLOOKUP(G225,'Crosswalk Detail'!A:B,2,FALSE)</f>
        <v>#REF!</v>
      </c>
    </row>
    <row r="226" spans="1:8" x14ac:dyDescent="0.2">
      <c r="A226" s="147">
        <f>'High Risk Non-Compliant'!B182</f>
        <v>0</v>
      </c>
      <c r="B226" s="346">
        <f>'High Risk Non-Compliant'!C182</f>
        <v>0</v>
      </c>
      <c r="C226" s="346"/>
      <c r="D226" s="346">
        <f>'High Risk Non-Compliant'!D182</f>
        <v>0</v>
      </c>
      <c r="E226" s="346"/>
      <c r="F226" s="346"/>
      <c r="G226" s="144"/>
      <c r="H226" s="144"/>
    </row>
    <row r="227" spans="1:8" ht="29.25" customHeight="1" x14ac:dyDescent="0.2">
      <c r="A227" s="147">
        <f>'High Risk Non-Compliant'!B183</f>
        <v>0</v>
      </c>
      <c r="B227" s="346">
        <f>'High Risk Non-Compliant'!C183</f>
        <v>0</v>
      </c>
      <c r="C227" s="346"/>
      <c r="D227" s="346">
        <f>'High Risk Non-Compliant'!D183</f>
        <v>0</v>
      </c>
      <c r="E227" s="346"/>
      <c r="F227" s="346"/>
      <c r="G227" s="144"/>
      <c r="H227" s="144"/>
    </row>
    <row r="228" spans="1:8" ht="29.25" customHeight="1" x14ac:dyDescent="0.2">
      <c r="A228" s="147">
        <f>'High Risk Non-Compliant'!B184</f>
        <v>0</v>
      </c>
      <c r="B228" s="346">
        <f>'High Risk Non-Compliant'!C184</f>
        <v>0</v>
      </c>
      <c r="C228" s="346"/>
      <c r="D228" s="346">
        <f>'High Risk Non-Compliant'!D184</f>
        <v>0</v>
      </c>
      <c r="E228" s="346"/>
      <c r="F228" s="346"/>
      <c r="G228" s="144"/>
      <c r="H228" s="144"/>
    </row>
    <row r="229" spans="1:8" x14ac:dyDescent="0.2">
      <c r="A229" s="147">
        <f>'High Risk Non-Compliant'!B185</f>
        <v>0</v>
      </c>
      <c r="B229" s="346">
        <f>'High Risk Non-Compliant'!C185</f>
        <v>0</v>
      </c>
      <c r="C229" s="346"/>
      <c r="D229" s="346">
        <f>'High Risk Non-Compliant'!D185</f>
        <v>0</v>
      </c>
      <c r="E229" s="346"/>
      <c r="F229" s="346"/>
      <c r="G229" s="144"/>
      <c r="H229" s="144"/>
    </row>
    <row r="230" spans="1:8" ht="29.25" customHeight="1" x14ac:dyDescent="0.2">
      <c r="A230" s="147">
        <f>'High Risk Non-Compliant'!B186</f>
        <v>0</v>
      </c>
      <c r="B230" s="346">
        <f>'High Risk Non-Compliant'!C186</f>
        <v>0</v>
      </c>
      <c r="C230" s="346"/>
      <c r="D230" s="346">
        <f>'High Risk Non-Compliant'!D186</f>
        <v>0</v>
      </c>
      <c r="E230" s="346"/>
      <c r="F230" s="346"/>
      <c r="G230" s="144"/>
      <c r="H230" s="144"/>
    </row>
    <row r="231" spans="1:8" ht="29.25" customHeight="1" x14ac:dyDescent="0.2">
      <c r="A231" s="147">
        <f>'High Risk Non-Compliant'!B187</f>
        <v>0</v>
      </c>
      <c r="B231" s="346">
        <f>'High Risk Non-Compliant'!C187</f>
        <v>0</v>
      </c>
      <c r="C231" s="346"/>
      <c r="D231" s="346">
        <f>'High Risk Non-Compliant'!D187</f>
        <v>0</v>
      </c>
      <c r="E231" s="346"/>
      <c r="F231" s="346"/>
      <c r="G231" s="144"/>
      <c r="H231" s="144"/>
    </row>
    <row r="232" spans="1:8" ht="44" customHeight="1" x14ac:dyDescent="0.2">
      <c r="A232" s="147">
        <f>'High Risk Non-Compliant'!B188</f>
        <v>0</v>
      </c>
      <c r="B232" s="346">
        <f>'High Risk Non-Compliant'!C188</f>
        <v>0</v>
      </c>
      <c r="C232" s="346"/>
      <c r="D232" s="346">
        <f>'High Risk Non-Compliant'!D188</f>
        <v>0</v>
      </c>
      <c r="E232" s="346"/>
      <c r="F232" s="346"/>
      <c r="G232" s="144"/>
      <c r="H232" s="144"/>
    </row>
    <row r="233" spans="1:8" x14ac:dyDescent="0.2">
      <c r="A233" s="147">
        <f>'High Risk Non-Compliant'!B189</f>
        <v>0</v>
      </c>
      <c r="B233" s="346">
        <f>'High Risk Non-Compliant'!C189</f>
        <v>0</v>
      </c>
      <c r="C233" s="346"/>
      <c r="D233" s="346">
        <f>'High Risk Non-Compliant'!D189</f>
        <v>0</v>
      </c>
      <c r="E233" s="346"/>
      <c r="F233" s="346"/>
      <c r="G233" s="144"/>
      <c r="H233" s="144"/>
    </row>
    <row r="234" spans="1:8" x14ac:dyDescent="0.2">
      <c r="A234" s="147">
        <f>'High Risk Non-Compliant'!B190</f>
        <v>0</v>
      </c>
      <c r="B234" s="346">
        <f>'High Risk Non-Compliant'!C190</f>
        <v>0</v>
      </c>
      <c r="C234" s="346"/>
      <c r="D234" s="346">
        <f>'High Risk Non-Compliant'!D190</f>
        <v>0</v>
      </c>
      <c r="E234" s="346"/>
      <c r="F234" s="346"/>
      <c r="G234" s="144"/>
      <c r="H234" s="144"/>
    </row>
    <row r="235" spans="1:8" x14ac:dyDescent="0.2">
      <c r="A235" s="147">
        <f>'High Risk Non-Compliant'!B191</f>
        <v>0</v>
      </c>
      <c r="B235" s="346">
        <f>'High Risk Non-Compliant'!C191</f>
        <v>0</v>
      </c>
      <c r="C235" s="346"/>
      <c r="D235" s="346">
        <f>'High Risk Non-Compliant'!D191</f>
        <v>0</v>
      </c>
      <c r="E235" s="346"/>
      <c r="F235" s="346"/>
      <c r="G235" s="144"/>
      <c r="H235" s="144"/>
    </row>
    <row r="236" spans="1:8" x14ac:dyDescent="0.2">
      <c r="A236" s="147">
        <f>'High Risk Non-Compliant'!B192</f>
        <v>0</v>
      </c>
      <c r="B236" s="346">
        <f>'High Risk Non-Compliant'!C192</f>
        <v>0</v>
      </c>
      <c r="C236" s="346"/>
      <c r="D236" s="346">
        <f>'High Risk Non-Compliant'!D192</f>
        <v>0</v>
      </c>
      <c r="E236" s="346"/>
      <c r="F236" s="346"/>
      <c r="G236" s="144"/>
      <c r="H236" s="144"/>
    </row>
    <row r="237" spans="1:8" x14ac:dyDescent="0.2">
      <c r="A237" s="147">
        <f>'High Risk Non-Compliant'!B193</f>
        <v>0</v>
      </c>
      <c r="B237" s="346">
        <f>'High Risk Non-Compliant'!C193</f>
        <v>0</v>
      </c>
      <c r="C237" s="346"/>
      <c r="D237" s="346">
        <f>'High Risk Non-Compliant'!D193</f>
        <v>0</v>
      </c>
      <c r="E237" s="346"/>
      <c r="F237" s="346"/>
      <c r="G237" s="144"/>
      <c r="H237" s="144"/>
    </row>
    <row r="238" spans="1:8" x14ac:dyDescent="0.2">
      <c r="A238" s="147">
        <f>'High Risk Non-Compliant'!B194</f>
        <v>0</v>
      </c>
      <c r="B238" s="346">
        <f>'High Risk Non-Compliant'!C194</f>
        <v>0</v>
      </c>
      <c r="C238" s="346"/>
      <c r="D238" s="346">
        <f>'High Risk Non-Compliant'!D194</f>
        <v>0</v>
      </c>
      <c r="E238" s="346"/>
      <c r="F238" s="346"/>
      <c r="G238" s="144"/>
      <c r="H238" s="144"/>
    </row>
    <row r="239" spans="1:8" x14ac:dyDescent="0.2">
      <c r="A239" s="147">
        <f>'High Risk Non-Compliant'!B195</f>
        <v>0</v>
      </c>
      <c r="B239" s="346">
        <f>'High Risk Non-Compliant'!C195</f>
        <v>0</v>
      </c>
      <c r="C239" s="346"/>
      <c r="D239" s="346">
        <f>'High Risk Non-Compliant'!D195</f>
        <v>0</v>
      </c>
      <c r="E239" s="346"/>
      <c r="F239" s="346"/>
      <c r="G239" s="144"/>
      <c r="H239" s="144"/>
    </row>
    <row r="240" spans="1:8" x14ac:dyDescent="0.2">
      <c r="A240" s="147">
        <f>'High Risk Non-Compliant'!B196</f>
        <v>0</v>
      </c>
      <c r="B240" s="346">
        <f>'High Risk Non-Compliant'!C196</f>
        <v>0</v>
      </c>
      <c r="C240" s="346"/>
      <c r="D240" s="346">
        <f>'High Risk Non-Compliant'!D196</f>
        <v>0</v>
      </c>
      <c r="E240" s="346"/>
      <c r="F240" s="346"/>
      <c r="G240" s="144"/>
      <c r="H240" s="144"/>
    </row>
    <row r="241" spans="1:8" x14ac:dyDescent="0.2">
      <c r="A241" s="147">
        <f>'High Risk Non-Compliant'!B197</f>
        <v>0</v>
      </c>
      <c r="B241" s="346">
        <f>'High Risk Non-Compliant'!C197</f>
        <v>0</v>
      </c>
      <c r="C241" s="346"/>
      <c r="D241" s="346">
        <f>'High Risk Non-Compliant'!D197</f>
        <v>0</v>
      </c>
      <c r="E241" s="346"/>
      <c r="F241" s="346"/>
      <c r="G241" s="144"/>
      <c r="H241" s="144"/>
    </row>
    <row r="242" spans="1:8" x14ac:dyDescent="0.2">
      <c r="A242" s="147">
        <f>'High Risk Non-Compliant'!B198</f>
        <v>0</v>
      </c>
      <c r="B242" s="346">
        <f>'High Risk Non-Compliant'!C198</f>
        <v>0</v>
      </c>
      <c r="C242" s="346"/>
      <c r="D242" s="346">
        <f>'High Risk Non-Compliant'!D198</f>
        <v>0</v>
      </c>
      <c r="E242" s="346"/>
      <c r="F242" s="346"/>
      <c r="G242" s="144"/>
      <c r="H242" s="144"/>
    </row>
    <row r="243" spans="1:8" ht="29.25" customHeight="1" x14ac:dyDescent="0.2">
      <c r="A243" s="147">
        <f>'High Risk Non-Compliant'!B199</f>
        <v>0</v>
      </c>
      <c r="B243" s="346">
        <f>'High Risk Non-Compliant'!C199</f>
        <v>0</v>
      </c>
      <c r="C243" s="346"/>
      <c r="D243" s="346">
        <f>'High Risk Non-Compliant'!D199</f>
        <v>0</v>
      </c>
      <c r="E243" s="346"/>
      <c r="F243" s="346"/>
      <c r="G243" s="144"/>
      <c r="H243" s="144"/>
    </row>
    <row r="244" spans="1:8" ht="29.25" customHeight="1" x14ac:dyDescent="0.2">
      <c r="A244" s="147">
        <f>'High Risk Non-Compliant'!B200</f>
        <v>0</v>
      </c>
      <c r="B244" s="346">
        <f>'High Risk Non-Compliant'!C200</f>
        <v>0</v>
      </c>
      <c r="C244" s="346"/>
      <c r="D244" s="346">
        <f>'High Risk Non-Compliant'!D200</f>
        <v>0</v>
      </c>
      <c r="E244" s="346"/>
      <c r="F244" s="346"/>
      <c r="G244" s="144"/>
      <c r="H244" s="144"/>
    </row>
    <row r="245" spans="1:8" ht="58.5" customHeight="1" x14ac:dyDescent="0.2">
      <c r="A245" s="147">
        <f>'High Risk Non-Compliant'!B201</f>
        <v>0</v>
      </c>
      <c r="B245" s="346">
        <f>'High Risk Non-Compliant'!C201</f>
        <v>0</v>
      </c>
      <c r="C245" s="346"/>
      <c r="D245" s="346">
        <f>'High Risk Non-Compliant'!D201</f>
        <v>0</v>
      </c>
      <c r="E245" s="346"/>
      <c r="F245" s="346"/>
      <c r="G245" s="144"/>
      <c r="H245" s="144"/>
    </row>
    <row r="246" spans="1:8" ht="44" customHeight="1" x14ac:dyDescent="0.2">
      <c r="A246" s="147">
        <f>'High Risk Non-Compliant'!B202</f>
        <v>0</v>
      </c>
      <c r="B246" s="346">
        <f>'High Risk Non-Compliant'!C202</f>
        <v>0</v>
      </c>
      <c r="C246" s="346"/>
      <c r="D246" s="346">
        <f>'High Risk Non-Compliant'!D202</f>
        <v>0</v>
      </c>
      <c r="E246" s="346"/>
      <c r="F246" s="346"/>
      <c r="G246" s="144"/>
      <c r="H246" s="144"/>
    </row>
    <row r="247" spans="1:8" ht="29.25" customHeight="1" x14ac:dyDescent="0.2">
      <c r="A247" s="147">
        <f>'High Risk Non-Compliant'!B203</f>
        <v>0</v>
      </c>
      <c r="B247" s="346">
        <f>'High Risk Non-Compliant'!C203</f>
        <v>0</v>
      </c>
      <c r="C247" s="346"/>
      <c r="D247" s="346">
        <f>'High Risk Non-Compliant'!D203</f>
        <v>0</v>
      </c>
      <c r="E247" s="346"/>
      <c r="F247" s="346"/>
      <c r="G247" s="144"/>
      <c r="H247" s="144"/>
    </row>
    <row r="248" spans="1:8" ht="44" customHeight="1" x14ac:dyDescent="0.2">
      <c r="A248" s="147">
        <f>'High Risk Non-Compliant'!B204</f>
        <v>0</v>
      </c>
      <c r="B248" s="346">
        <f>'High Risk Non-Compliant'!C204</f>
        <v>0</v>
      </c>
      <c r="C248" s="346"/>
      <c r="D248" s="346">
        <f>'High Risk Non-Compliant'!D204</f>
        <v>0</v>
      </c>
      <c r="E248" s="346"/>
      <c r="F248" s="346"/>
      <c r="G248" s="144"/>
      <c r="H248" s="144"/>
    </row>
    <row r="249" spans="1:8" ht="29.25" customHeight="1" x14ac:dyDescent="0.2">
      <c r="A249" s="147">
        <f>'High Risk Non-Compliant'!B205</f>
        <v>0</v>
      </c>
      <c r="B249" s="346">
        <f>'High Risk Non-Compliant'!C205</f>
        <v>0</v>
      </c>
      <c r="C249" s="346"/>
      <c r="D249" s="346">
        <f>'High Risk Non-Compliant'!D205</f>
        <v>0</v>
      </c>
      <c r="E249" s="346"/>
      <c r="F249" s="346"/>
      <c r="G249" s="144"/>
      <c r="H249" s="144"/>
    </row>
    <row r="250" spans="1:8" ht="175.5" customHeight="1" x14ac:dyDescent="0.2">
      <c r="A250" s="147">
        <f>'High Risk Non-Compliant'!B206</f>
        <v>0</v>
      </c>
      <c r="B250" s="346">
        <f>'High Risk Non-Compliant'!C206</f>
        <v>0</v>
      </c>
      <c r="C250" s="346"/>
      <c r="D250" s="346">
        <f>'High Risk Non-Compliant'!D206</f>
        <v>0</v>
      </c>
      <c r="E250" s="346"/>
      <c r="F250" s="346"/>
      <c r="G250" s="144"/>
      <c r="H250" s="144"/>
    </row>
    <row r="251" spans="1:8" ht="73.25" customHeight="1" x14ac:dyDescent="0.2">
      <c r="A251" s="147">
        <f>'High Risk Non-Compliant'!B207</f>
        <v>0</v>
      </c>
      <c r="B251" s="346">
        <f>'High Risk Non-Compliant'!C207</f>
        <v>0</v>
      </c>
      <c r="C251" s="346"/>
      <c r="D251" s="346">
        <f>'High Risk Non-Compliant'!D207</f>
        <v>0</v>
      </c>
      <c r="E251" s="346"/>
      <c r="F251" s="346"/>
      <c r="G251" s="144"/>
      <c r="H251" s="144"/>
    </row>
    <row r="252" spans="1:8" ht="87.75" customHeight="1" x14ac:dyDescent="0.2">
      <c r="A252" s="147">
        <f>'High Risk Non-Compliant'!B208</f>
        <v>0</v>
      </c>
      <c r="B252" s="346">
        <f>'High Risk Non-Compliant'!C208</f>
        <v>0</v>
      </c>
      <c r="C252" s="346"/>
      <c r="D252" s="346">
        <f>'High Risk Non-Compliant'!D208</f>
        <v>0</v>
      </c>
      <c r="E252" s="346"/>
      <c r="F252" s="346"/>
      <c r="G252" s="144"/>
      <c r="H252" s="144"/>
    </row>
    <row r="253" spans="1:8" x14ac:dyDescent="0.2">
      <c r="A253" s="147">
        <f>'High Risk Non-Compliant'!B209</f>
        <v>0</v>
      </c>
      <c r="B253" s="346">
        <f>'High Risk Non-Compliant'!C209</f>
        <v>0</v>
      </c>
      <c r="C253" s="346"/>
      <c r="D253" s="346">
        <f>'High Risk Non-Compliant'!D209</f>
        <v>0</v>
      </c>
      <c r="E253" s="346"/>
      <c r="F253" s="346"/>
      <c r="G253" s="144"/>
      <c r="H253" s="144"/>
    </row>
    <row r="254" spans="1:8" ht="29.25" customHeight="1" x14ac:dyDescent="0.2">
      <c r="A254" s="147">
        <f>'High Risk Non-Compliant'!B210</f>
        <v>0</v>
      </c>
      <c r="B254" s="346">
        <f>'High Risk Non-Compliant'!C210</f>
        <v>0</v>
      </c>
      <c r="C254" s="346"/>
      <c r="D254" s="346">
        <f>'High Risk Non-Compliant'!D210</f>
        <v>0</v>
      </c>
      <c r="E254" s="346"/>
      <c r="F254" s="346"/>
      <c r="G254" s="144"/>
      <c r="H254" s="144"/>
    </row>
    <row r="255" spans="1:8" x14ac:dyDescent="0.2">
      <c r="A255" s="147">
        <f>'High Risk Non-Compliant'!B211</f>
        <v>0</v>
      </c>
      <c r="B255" s="346">
        <f>'High Risk Non-Compliant'!C211</f>
        <v>0</v>
      </c>
      <c r="C255" s="346"/>
      <c r="D255" s="346">
        <f>'High Risk Non-Compliant'!D211</f>
        <v>0</v>
      </c>
      <c r="E255" s="346"/>
      <c r="F255" s="346"/>
      <c r="G255" s="144"/>
      <c r="H255" s="144"/>
    </row>
    <row r="256" spans="1:8" x14ac:dyDescent="0.2">
      <c r="A256" s="147">
        <f>'High Risk Non-Compliant'!B212</f>
        <v>0</v>
      </c>
      <c r="B256" s="346">
        <f>'High Risk Non-Compliant'!C212</f>
        <v>0</v>
      </c>
      <c r="C256" s="346"/>
      <c r="D256" s="346">
        <f>'High Risk Non-Compliant'!D212</f>
        <v>0</v>
      </c>
      <c r="E256" s="346"/>
      <c r="F256" s="346"/>
      <c r="G256" s="144"/>
      <c r="H256" s="144"/>
    </row>
    <row r="257" spans="1:8" x14ac:dyDescent="0.2">
      <c r="A257" s="147">
        <f>'High Risk Non-Compliant'!B213</f>
        <v>0</v>
      </c>
      <c r="B257" s="346">
        <f>'High Risk Non-Compliant'!C213</f>
        <v>0</v>
      </c>
      <c r="C257" s="346"/>
      <c r="D257" s="346">
        <f>'High Risk Non-Compliant'!D213</f>
        <v>0</v>
      </c>
      <c r="E257" s="346"/>
      <c r="F257" s="346"/>
      <c r="G257" s="144"/>
      <c r="H257" s="144"/>
    </row>
    <row r="258" spans="1:8" x14ac:dyDescent="0.2">
      <c r="A258" s="147">
        <f>'High Risk Non-Compliant'!B214</f>
        <v>0</v>
      </c>
      <c r="B258" s="346">
        <f>'High Risk Non-Compliant'!C214</f>
        <v>0</v>
      </c>
      <c r="C258" s="346"/>
      <c r="D258" s="346">
        <f>'High Risk Non-Compliant'!D214</f>
        <v>0</v>
      </c>
      <c r="E258" s="346"/>
      <c r="F258" s="346"/>
      <c r="G258" s="144"/>
      <c r="H258" s="144"/>
    </row>
    <row r="259" spans="1:8" x14ac:dyDescent="0.2">
      <c r="A259" s="147">
        <f>'High Risk Non-Compliant'!B215</f>
        <v>0</v>
      </c>
      <c r="B259" s="346">
        <f>'High Risk Non-Compliant'!C215</f>
        <v>0</v>
      </c>
      <c r="C259" s="346"/>
      <c r="D259" s="346">
        <f>'High Risk Non-Compliant'!D215</f>
        <v>0</v>
      </c>
      <c r="E259" s="346"/>
      <c r="F259" s="346"/>
      <c r="G259" s="144"/>
      <c r="H259" s="144"/>
    </row>
    <row r="260" spans="1:8" x14ac:dyDescent="0.2">
      <c r="A260" s="147">
        <f>'High Risk Non-Compliant'!B216</f>
        <v>0</v>
      </c>
      <c r="B260" s="346">
        <f>'High Risk Non-Compliant'!C216</f>
        <v>0</v>
      </c>
      <c r="C260" s="346"/>
      <c r="D260" s="346">
        <f>'High Risk Non-Compliant'!D216</f>
        <v>0</v>
      </c>
      <c r="E260" s="346"/>
      <c r="F260" s="346"/>
      <c r="G260" s="144"/>
      <c r="H260" s="144"/>
    </row>
    <row r="261" spans="1:8" x14ac:dyDescent="0.2">
      <c r="A261" s="147">
        <f>'High Risk Non-Compliant'!B217</f>
        <v>0</v>
      </c>
      <c r="B261" s="346">
        <f>'High Risk Non-Compliant'!C217</f>
        <v>0</v>
      </c>
      <c r="C261" s="346"/>
      <c r="D261" s="346">
        <f>'High Risk Non-Compliant'!D217</f>
        <v>0</v>
      </c>
      <c r="E261" s="346"/>
      <c r="F261" s="346"/>
      <c r="G261" s="144"/>
      <c r="H261" s="144"/>
    </row>
    <row r="262" spans="1:8" x14ac:dyDescent="0.2">
      <c r="A262" s="147">
        <f>'High Risk Non-Compliant'!B218</f>
        <v>0</v>
      </c>
      <c r="B262" s="346">
        <f>'High Risk Non-Compliant'!C218</f>
        <v>0</v>
      </c>
      <c r="C262" s="346"/>
      <c r="D262" s="346">
        <f>'High Risk Non-Compliant'!D218</f>
        <v>0</v>
      </c>
      <c r="E262" s="346"/>
      <c r="F262" s="346"/>
      <c r="G262" s="144"/>
      <c r="H262" s="144"/>
    </row>
    <row r="263" spans="1:8" x14ac:dyDescent="0.2">
      <c r="A263" s="147">
        <f>'High Risk Non-Compliant'!B219</f>
        <v>0</v>
      </c>
      <c r="B263" s="346">
        <f>'High Risk Non-Compliant'!C219</f>
        <v>0</v>
      </c>
      <c r="C263" s="346"/>
      <c r="D263" s="346">
        <f>'High Risk Non-Compliant'!D219</f>
        <v>0</v>
      </c>
      <c r="E263" s="346"/>
      <c r="F263" s="346"/>
      <c r="G263" s="144"/>
      <c r="H263" s="144"/>
    </row>
    <row r="264" spans="1:8" x14ac:dyDescent="0.2">
      <c r="A264" s="147">
        <f>'High Risk Non-Compliant'!B220</f>
        <v>0</v>
      </c>
      <c r="B264" s="346">
        <f>'High Risk Non-Compliant'!C220</f>
        <v>0</v>
      </c>
      <c r="C264" s="346"/>
      <c r="D264" s="346">
        <f>'High Risk Non-Compliant'!D220</f>
        <v>0</v>
      </c>
      <c r="E264" s="346"/>
      <c r="F264" s="346"/>
      <c r="G264" s="144"/>
      <c r="H264" s="144"/>
    </row>
    <row r="265" spans="1:8" ht="58.5" customHeight="1" x14ac:dyDescent="0.2">
      <c r="A265" s="147">
        <f>'High Risk Non-Compliant'!B221</f>
        <v>0</v>
      </c>
      <c r="B265" s="346">
        <f>'High Risk Non-Compliant'!C221</f>
        <v>0</v>
      </c>
      <c r="C265" s="346"/>
      <c r="D265" s="346">
        <f>'High Risk Non-Compliant'!D221</f>
        <v>0</v>
      </c>
      <c r="E265" s="346"/>
      <c r="F265" s="346"/>
      <c r="G265" s="144"/>
      <c r="H265" s="144"/>
    </row>
    <row r="266" spans="1:8" ht="58.5" customHeight="1" x14ac:dyDescent="0.2">
      <c r="A266" s="147">
        <f>'High Risk Non-Compliant'!B222</f>
        <v>0</v>
      </c>
      <c r="B266" s="346">
        <f>'High Risk Non-Compliant'!C222</f>
        <v>0</v>
      </c>
      <c r="C266" s="346"/>
      <c r="D266" s="346">
        <f>'High Risk Non-Compliant'!D222</f>
        <v>0</v>
      </c>
      <c r="E266" s="346"/>
      <c r="F266" s="346"/>
      <c r="G266" s="144"/>
      <c r="H266" s="144"/>
    </row>
    <row r="267" spans="1:8" ht="58.5" customHeight="1" x14ac:dyDescent="0.2">
      <c r="A267" s="147">
        <f>'High Risk Non-Compliant'!B223</f>
        <v>0</v>
      </c>
      <c r="B267" s="346">
        <f>'High Risk Non-Compliant'!C223</f>
        <v>0</v>
      </c>
      <c r="C267" s="346"/>
      <c r="D267" s="346">
        <f>'High Risk Non-Compliant'!D223</f>
        <v>0</v>
      </c>
      <c r="E267" s="346"/>
      <c r="F267" s="346"/>
      <c r="G267" s="144"/>
      <c r="H267" s="144"/>
    </row>
    <row r="268" spans="1:8" ht="58.5" customHeight="1" x14ac:dyDescent="0.2">
      <c r="A268" s="147">
        <f>'High Risk Non-Compliant'!B224</f>
        <v>0</v>
      </c>
      <c r="B268" s="346">
        <f>'High Risk Non-Compliant'!C224</f>
        <v>0</v>
      </c>
      <c r="C268" s="346"/>
      <c r="D268" s="346">
        <f>'High Risk Non-Compliant'!D224</f>
        <v>0</v>
      </c>
      <c r="E268" s="346"/>
      <c r="F268" s="346"/>
      <c r="G268" s="144"/>
      <c r="H268" s="144"/>
    </row>
    <row r="269" spans="1:8" ht="58.5" customHeight="1" x14ac:dyDescent="0.2">
      <c r="A269" s="147">
        <f>'High Risk Non-Compliant'!B225</f>
        <v>0</v>
      </c>
      <c r="B269" s="346">
        <f>'High Risk Non-Compliant'!C225</f>
        <v>0</v>
      </c>
      <c r="C269" s="346"/>
      <c r="D269" s="346">
        <f>'High Risk Non-Compliant'!D225</f>
        <v>0</v>
      </c>
      <c r="E269" s="346"/>
      <c r="F269" s="346"/>
      <c r="G269" s="144"/>
      <c r="H269" s="144"/>
    </row>
    <row r="270" spans="1:8" ht="58.5" customHeight="1" x14ac:dyDescent="0.2">
      <c r="A270" s="147">
        <f>'High Risk Non-Compliant'!B226</f>
        <v>0</v>
      </c>
      <c r="B270" s="346">
        <f>'High Risk Non-Compliant'!C226</f>
        <v>0</v>
      </c>
      <c r="C270" s="346"/>
      <c r="D270" s="346">
        <f>'High Risk Non-Compliant'!D226</f>
        <v>0</v>
      </c>
      <c r="E270" s="346"/>
      <c r="F270" s="346"/>
      <c r="G270" s="144"/>
      <c r="H270" s="144"/>
    </row>
    <row r="271" spans="1:8" ht="58.5" customHeight="1" x14ac:dyDescent="0.2">
      <c r="A271" s="147">
        <f>'High Risk Non-Compliant'!B227</f>
        <v>0</v>
      </c>
      <c r="B271" s="346">
        <f>'High Risk Non-Compliant'!C227</f>
        <v>0</v>
      </c>
      <c r="C271" s="346"/>
      <c r="D271" s="346">
        <f>'High Risk Non-Compliant'!D227</f>
        <v>0</v>
      </c>
      <c r="E271" s="346"/>
      <c r="F271" s="346"/>
      <c r="G271" s="144"/>
      <c r="H271" s="144"/>
    </row>
    <row r="272" spans="1:8" x14ac:dyDescent="0.2">
      <c r="A272" s="147">
        <f>'High Risk Non-Compliant'!B228</f>
        <v>0</v>
      </c>
      <c r="B272" s="346">
        <f>'High Risk Non-Compliant'!C228</f>
        <v>0</v>
      </c>
      <c r="C272" s="346"/>
      <c r="D272" s="346">
        <f>'High Risk Non-Compliant'!D228</f>
        <v>0</v>
      </c>
      <c r="E272" s="346"/>
      <c r="F272" s="346"/>
      <c r="G272" s="144"/>
      <c r="H272" s="144"/>
    </row>
    <row r="273" spans="1:8" x14ac:dyDescent="0.2">
      <c r="A273" s="147">
        <f>'High Risk Non-Compliant'!B229</f>
        <v>0</v>
      </c>
      <c r="B273" s="346">
        <f>'High Risk Non-Compliant'!C229</f>
        <v>0</v>
      </c>
      <c r="C273" s="346"/>
      <c r="D273" s="346">
        <f>'High Risk Non-Compliant'!D229</f>
        <v>0</v>
      </c>
      <c r="E273" s="346"/>
      <c r="F273" s="346"/>
      <c r="G273" s="144"/>
      <c r="H273" s="144"/>
    </row>
    <row r="274" spans="1:8" x14ac:dyDescent="0.2">
      <c r="A274" s="147">
        <f>'High Risk Non-Compliant'!B230</f>
        <v>0</v>
      </c>
      <c r="B274" s="346">
        <f>'High Risk Non-Compliant'!C230</f>
        <v>0</v>
      </c>
      <c r="C274" s="346"/>
      <c r="D274" s="346">
        <f>'High Risk Non-Compliant'!D230</f>
        <v>0</v>
      </c>
      <c r="E274" s="346"/>
      <c r="F274" s="346"/>
      <c r="G274" s="144"/>
      <c r="H274" s="144"/>
    </row>
    <row r="275" spans="1:8" ht="44" customHeight="1" x14ac:dyDescent="0.2">
      <c r="A275" s="147">
        <f>'High Risk Non-Compliant'!B231</f>
        <v>0</v>
      </c>
      <c r="B275" s="346">
        <f>'High Risk Non-Compliant'!C231</f>
        <v>0</v>
      </c>
      <c r="C275" s="346"/>
      <c r="D275" s="346">
        <f>'High Risk Non-Compliant'!D231</f>
        <v>0</v>
      </c>
      <c r="E275" s="346"/>
      <c r="F275" s="346"/>
      <c r="G275" s="144"/>
      <c r="H275" s="144"/>
    </row>
    <row r="276" spans="1:8" ht="44" customHeight="1" x14ac:dyDescent="0.2">
      <c r="A276" s="147">
        <f>'High Risk Non-Compliant'!B232</f>
        <v>0</v>
      </c>
      <c r="B276" s="346">
        <f>'High Risk Non-Compliant'!C232</f>
        <v>0</v>
      </c>
      <c r="C276" s="346"/>
      <c r="D276" s="346">
        <f>'High Risk Non-Compliant'!D232</f>
        <v>0</v>
      </c>
      <c r="E276" s="346"/>
      <c r="F276" s="346"/>
      <c r="G276" s="144"/>
      <c r="H276" s="144"/>
    </row>
    <row r="277" spans="1:8" ht="44" customHeight="1" x14ac:dyDescent="0.2">
      <c r="A277" s="147">
        <f>'High Risk Non-Compliant'!B233</f>
        <v>0</v>
      </c>
      <c r="B277" s="346">
        <f>'High Risk Non-Compliant'!C233</f>
        <v>0</v>
      </c>
      <c r="C277" s="346"/>
      <c r="D277" s="346">
        <f>'High Risk Non-Compliant'!D233</f>
        <v>0</v>
      </c>
      <c r="E277" s="346"/>
      <c r="F277" s="346"/>
      <c r="G277" s="144"/>
      <c r="H277" s="144"/>
    </row>
    <row r="278" spans="1:8" ht="44" customHeight="1" x14ac:dyDescent="0.2">
      <c r="A278" s="147">
        <f>'High Risk Non-Compliant'!B234</f>
        <v>0</v>
      </c>
      <c r="B278" s="346">
        <f>'High Risk Non-Compliant'!C234</f>
        <v>0</v>
      </c>
      <c r="C278" s="346"/>
      <c r="D278" s="346">
        <f>'High Risk Non-Compliant'!D234</f>
        <v>0</v>
      </c>
      <c r="E278" s="346"/>
      <c r="F278" s="346"/>
      <c r="G278" s="144"/>
      <c r="H278" s="144"/>
    </row>
    <row r="279" spans="1:8" ht="44" customHeight="1" x14ac:dyDescent="0.2">
      <c r="A279" s="147">
        <f>'High Risk Non-Compliant'!B235</f>
        <v>0</v>
      </c>
      <c r="B279" s="346">
        <f>'High Risk Non-Compliant'!C235</f>
        <v>0</v>
      </c>
      <c r="C279" s="346"/>
      <c r="D279" s="346">
        <f>'High Risk Non-Compliant'!D235</f>
        <v>0</v>
      </c>
      <c r="E279" s="346"/>
      <c r="F279" s="346"/>
      <c r="G279" s="144"/>
      <c r="H279" s="144"/>
    </row>
    <row r="280" spans="1:8" ht="44" customHeight="1" x14ac:dyDescent="0.2">
      <c r="A280" s="147">
        <f>'High Risk Non-Compliant'!B236</f>
        <v>0</v>
      </c>
      <c r="B280" s="346">
        <f>'High Risk Non-Compliant'!C236</f>
        <v>0</v>
      </c>
      <c r="C280" s="346"/>
      <c r="D280" s="346">
        <f>'High Risk Non-Compliant'!D236</f>
        <v>0</v>
      </c>
      <c r="E280" s="346"/>
      <c r="F280" s="346"/>
      <c r="G280" s="144"/>
      <c r="H280" s="144"/>
    </row>
    <row r="281" spans="1:8" ht="44" customHeight="1" x14ac:dyDescent="0.2">
      <c r="A281" s="147">
        <f>'High Risk Non-Compliant'!B237</f>
        <v>0</v>
      </c>
      <c r="B281" s="346">
        <f>'High Risk Non-Compliant'!C237</f>
        <v>0</v>
      </c>
      <c r="C281" s="346"/>
      <c r="D281" s="346">
        <f>'High Risk Non-Compliant'!D237</f>
        <v>0</v>
      </c>
      <c r="E281" s="346"/>
      <c r="F281" s="346"/>
      <c r="G281" s="144"/>
      <c r="H281" s="144"/>
    </row>
    <row r="282" spans="1:8" ht="29.25" customHeight="1" x14ac:dyDescent="0.2">
      <c r="A282" s="147">
        <f>'High Risk Non-Compliant'!B238</f>
        <v>0</v>
      </c>
      <c r="B282" s="346">
        <f>'High Risk Non-Compliant'!C238</f>
        <v>0</v>
      </c>
      <c r="C282" s="346"/>
      <c r="D282" s="346">
        <f>'High Risk Non-Compliant'!D238</f>
        <v>0</v>
      </c>
      <c r="E282" s="346"/>
      <c r="F282" s="346"/>
      <c r="G282" s="144"/>
      <c r="H282" s="144"/>
    </row>
    <row r="283" spans="1:8" ht="29.25" customHeight="1" x14ac:dyDescent="0.2">
      <c r="A283" s="147">
        <f>'High Risk Non-Compliant'!B239</f>
        <v>0</v>
      </c>
      <c r="B283" s="346">
        <f>'High Risk Non-Compliant'!C239</f>
        <v>0</v>
      </c>
      <c r="C283" s="346"/>
      <c r="D283" s="346">
        <f>'High Risk Non-Compliant'!D239</f>
        <v>0</v>
      </c>
      <c r="E283" s="346"/>
      <c r="F283" s="346"/>
      <c r="G283" s="144"/>
      <c r="H283" s="144"/>
    </row>
    <row r="284" spans="1:8" ht="29.25" customHeight="1" x14ac:dyDescent="0.2">
      <c r="A284" s="147">
        <f>'High Risk Non-Compliant'!B240</f>
        <v>0</v>
      </c>
      <c r="B284" s="346">
        <f>'High Risk Non-Compliant'!C240</f>
        <v>0</v>
      </c>
      <c r="C284" s="346"/>
      <c r="D284" s="346">
        <f>'High Risk Non-Compliant'!D240</f>
        <v>0</v>
      </c>
      <c r="E284" s="346"/>
      <c r="F284" s="346"/>
      <c r="G284" s="144"/>
      <c r="H284" s="144"/>
    </row>
    <row r="285" spans="1:8" x14ac:dyDescent="0.2">
      <c r="A285" s="147">
        <f>'High Risk Non-Compliant'!B241</f>
        <v>0</v>
      </c>
      <c r="B285" s="346">
        <f>'High Risk Non-Compliant'!C241</f>
        <v>0</v>
      </c>
      <c r="C285" s="346"/>
      <c r="D285" s="346">
        <f>'High Risk Non-Compliant'!D241</f>
        <v>0</v>
      </c>
      <c r="E285" s="346"/>
      <c r="F285" s="346"/>
      <c r="G285" s="144"/>
      <c r="H285" s="144"/>
    </row>
    <row r="286" spans="1:8" x14ac:dyDescent="0.2">
      <c r="A286" s="147">
        <f>'High Risk Non-Compliant'!B242</f>
        <v>0</v>
      </c>
      <c r="B286" s="346">
        <f>'High Risk Non-Compliant'!C242</f>
        <v>0</v>
      </c>
      <c r="C286" s="346"/>
      <c r="D286" s="346">
        <f>'High Risk Non-Compliant'!D242</f>
        <v>0</v>
      </c>
      <c r="E286" s="346"/>
      <c r="F286" s="346"/>
      <c r="G286" s="144"/>
      <c r="H286" s="144"/>
    </row>
    <row r="287" spans="1:8" ht="44" customHeight="1" x14ac:dyDescent="0.2">
      <c r="A287" s="147">
        <f>'High Risk Non-Compliant'!B243</f>
        <v>0</v>
      </c>
      <c r="B287" s="346">
        <f>'High Risk Non-Compliant'!C243</f>
        <v>0</v>
      </c>
      <c r="C287" s="346"/>
      <c r="D287" s="346">
        <f>'High Risk Non-Compliant'!D243</f>
        <v>0</v>
      </c>
      <c r="E287" s="346"/>
      <c r="F287" s="346"/>
      <c r="G287" s="144"/>
      <c r="H287" s="144"/>
    </row>
    <row r="288" spans="1:8" ht="44" customHeight="1" x14ac:dyDescent="0.2">
      <c r="A288" s="147">
        <f>'High Risk Non-Compliant'!B244</f>
        <v>0</v>
      </c>
      <c r="B288" s="346">
        <f>'High Risk Non-Compliant'!C244</f>
        <v>0</v>
      </c>
      <c r="C288" s="346"/>
      <c r="D288" s="346">
        <f>'High Risk Non-Compliant'!D244</f>
        <v>0</v>
      </c>
      <c r="E288" s="346"/>
      <c r="F288" s="346"/>
      <c r="G288" s="144"/>
      <c r="H288" s="144"/>
    </row>
    <row r="289" spans="1:8" ht="87.75" customHeight="1" x14ac:dyDescent="0.2">
      <c r="A289" s="147">
        <f>'High Risk Non-Compliant'!B245</f>
        <v>0</v>
      </c>
      <c r="B289" s="346">
        <f>'High Risk Non-Compliant'!C245</f>
        <v>0</v>
      </c>
      <c r="C289" s="346"/>
      <c r="D289" s="346">
        <f>'High Risk Non-Compliant'!D245</f>
        <v>0</v>
      </c>
      <c r="E289" s="346"/>
      <c r="F289" s="346"/>
      <c r="G289" s="144"/>
      <c r="H289" s="144"/>
    </row>
    <row r="290" spans="1:8" ht="73.25" customHeight="1" x14ac:dyDescent="0.2">
      <c r="A290" s="147">
        <f>'High Risk Non-Compliant'!B246</f>
        <v>0</v>
      </c>
      <c r="B290" s="346">
        <f>'High Risk Non-Compliant'!C246</f>
        <v>0</v>
      </c>
      <c r="C290" s="346"/>
      <c r="D290" s="346">
        <f>'High Risk Non-Compliant'!D246</f>
        <v>0</v>
      </c>
      <c r="E290" s="346"/>
      <c r="F290" s="346"/>
      <c r="G290" s="144"/>
      <c r="H290" s="144"/>
    </row>
    <row r="291" spans="1:8" ht="73.25" customHeight="1" x14ac:dyDescent="0.2">
      <c r="A291" s="147">
        <f>'High Risk Non-Compliant'!B247</f>
        <v>0</v>
      </c>
      <c r="B291" s="346">
        <f>'High Risk Non-Compliant'!C247</f>
        <v>0</v>
      </c>
      <c r="C291" s="346"/>
      <c r="D291" s="346">
        <f>'High Risk Non-Compliant'!D247</f>
        <v>0</v>
      </c>
      <c r="E291" s="346"/>
      <c r="F291" s="346"/>
      <c r="G291" s="144"/>
      <c r="H291" s="144"/>
    </row>
    <row r="292" spans="1:8" ht="44" customHeight="1" x14ac:dyDescent="0.2">
      <c r="A292" s="147">
        <f>'High Risk Non-Compliant'!B248</f>
        <v>0</v>
      </c>
      <c r="B292" s="346">
        <f>'High Risk Non-Compliant'!C248</f>
        <v>0</v>
      </c>
      <c r="C292" s="346"/>
      <c r="D292" s="346">
        <f>'High Risk Non-Compliant'!D248</f>
        <v>0</v>
      </c>
      <c r="E292" s="346"/>
      <c r="F292" s="346"/>
      <c r="G292" s="144"/>
      <c r="H292" s="144"/>
    </row>
    <row r="293" spans="1:8" ht="29.25" customHeight="1" x14ac:dyDescent="0.2">
      <c r="A293" s="147">
        <f>'High Risk Non-Compliant'!B249</f>
        <v>0</v>
      </c>
      <c r="B293" s="346">
        <f>'High Risk Non-Compliant'!C249</f>
        <v>0</v>
      </c>
      <c r="C293" s="346"/>
      <c r="D293" s="346">
        <f>'High Risk Non-Compliant'!D249</f>
        <v>0</v>
      </c>
      <c r="E293" s="346"/>
      <c r="F293" s="346"/>
      <c r="G293" s="144"/>
      <c r="H293" s="144"/>
    </row>
    <row r="294" spans="1:8" ht="29.25" customHeight="1" x14ac:dyDescent="0.2">
      <c r="A294" s="147">
        <f>'High Risk Non-Compliant'!B250</f>
        <v>0</v>
      </c>
      <c r="B294" s="346">
        <f>'High Risk Non-Compliant'!C250</f>
        <v>0</v>
      </c>
      <c r="C294" s="346"/>
      <c r="D294" s="346">
        <f>'High Risk Non-Compliant'!D250</f>
        <v>0</v>
      </c>
      <c r="E294" s="346"/>
      <c r="F294" s="346"/>
      <c r="G294" s="144"/>
      <c r="H294" s="144"/>
    </row>
    <row r="295" spans="1:8" ht="29.25" customHeight="1" x14ac:dyDescent="0.2">
      <c r="A295" s="147">
        <f>'High Risk Non-Compliant'!B251</f>
        <v>0</v>
      </c>
      <c r="B295" s="346">
        <f>'High Risk Non-Compliant'!C251</f>
        <v>0</v>
      </c>
      <c r="C295" s="346"/>
      <c r="D295" s="346">
        <f>'High Risk Non-Compliant'!D251</f>
        <v>0</v>
      </c>
      <c r="E295" s="346"/>
      <c r="F295" s="346"/>
      <c r="G295" s="144"/>
      <c r="H295" s="144"/>
    </row>
    <row r="296" spans="1:8" ht="44" customHeight="1" x14ac:dyDescent="0.2">
      <c r="A296" s="147">
        <f>'High Risk Non-Compliant'!B252</f>
        <v>0</v>
      </c>
      <c r="B296" s="346">
        <f>'High Risk Non-Compliant'!C252</f>
        <v>0</v>
      </c>
      <c r="C296" s="346"/>
      <c r="D296" s="346">
        <f>'High Risk Non-Compliant'!D252</f>
        <v>0</v>
      </c>
      <c r="E296" s="346"/>
      <c r="F296" s="346"/>
      <c r="G296" s="144"/>
      <c r="H296" s="144"/>
    </row>
    <row r="297" spans="1:8" ht="29.25" customHeight="1" x14ac:dyDescent="0.2">
      <c r="A297" s="147">
        <f>'High Risk Non-Compliant'!B253</f>
        <v>0</v>
      </c>
      <c r="B297" s="346">
        <f>'High Risk Non-Compliant'!C253</f>
        <v>0</v>
      </c>
      <c r="C297" s="346"/>
      <c r="D297" s="346">
        <f>'High Risk Non-Compliant'!D253</f>
        <v>0</v>
      </c>
      <c r="E297" s="346"/>
      <c r="F297" s="346"/>
      <c r="G297" s="144"/>
      <c r="H297" s="144"/>
    </row>
    <row r="298" spans="1:8" ht="73.25" customHeight="1" x14ac:dyDescent="0.2">
      <c r="A298" s="147">
        <f>'High Risk Non-Compliant'!B254</f>
        <v>0</v>
      </c>
      <c r="B298" s="346">
        <f>'High Risk Non-Compliant'!C254</f>
        <v>0</v>
      </c>
      <c r="C298" s="346"/>
      <c r="D298" s="346">
        <f>'High Risk Non-Compliant'!D254</f>
        <v>0</v>
      </c>
      <c r="E298" s="346"/>
      <c r="F298" s="346"/>
      <c r="G298" s="144"/>
      <c r="H298" s="144"/>
    </row>
    <row r="299" spans="1:8" ht="58.5" customHeight="1" x14ac:dyDescent="0.2">
      <c r="A299" s="147">
        <f>'High Risk Non-Compliant'!B255</f>
        <v>0</v>
      </c>
      <c r="B299" s="346">
        <f>'High Risk Non-Compliant'!C255</f>
        <v>0</v>
      </c>
      <c r="C299" s="346"/>
      <c r="D299" s="346">
        <f>'High Risk Non-Compliant'!D255</f>
        <v>0</v>
      </c>
      <c r="E299" s="346"/>
      <c r="F299" s="346"/>
      <c r="G299" s="144"/>
      <c r="H299" s="144"/>
    </row>
    <row r="300" spans="1:8" ht="73.25" customHeight="1" x14ac:dyDescent="0.2">
      <c r="A300" s="147">
        <f>'High Risk Non-Compliant'!B256</f>
        <v>0</v>
      </c>
      <c r="B300" s="346">
        <f>'High Risk Non-Compliant'!C256</f>
        <v>0</v>
      </c>
      <c r="C300" s="346"/>
      <c r="D300" s="346">
        <f>'High Risk Non-Compliant'!D256</f>
        <v>0</v>
      </c>
      <c r="E300" s="346"/>
      <c r="F300" s="346"/>
      <c r="G300" s="144"/>
      <c r="H300" s="144"/>
    </row>
    <row r="301" spans="1:8" ht="87.75" customHeight="1" x14ac:dyDescent="0.2">
      <c r="A301" s="147">
        <f>'High Risk Non-Compliant'!B257</f>
        <v>0</v>
      </c>
      <c r="B301" s="346">
        <f>'High Risk Non-Compliant'!C257</f>
        <v>0</v>
      </c>
      <c r="C301" s="346"/>
      <c r="D301" s="346">
        <f>'High Risk Non-Compliant'!D257</f>
        <v>0</v>
      </c>
      <c r="E301" s="346"/>
      <c r="F301" s="346"/>
      <c r="G301" s="144"/>
      <c r="H301" s="144"/>
    </row>
    <row r="302" spans="1:8" ht="29.25" customHeight="1" x14ac:dyDescent="0.2">
      <c r="A302" s="147">
        <f>'High Risk Non-Compliant'!B258</f>
        <v>0</v>
      </c>
      <c r="B302" s="346">
        <f>'High Risk Non-Compliant'!C258</f>
        <v>0</v>
      </c>
      <c r="C302" s="346"/>
      <c r="D302" s="346">
        <f>'High Risk Non-Compliant'!D258</f>
        <v>0</v>
      </c>
      <c r="E302" s="346"/>
      <c r="F302" s="346"/>
      <c r="G302" s="144"/>
      <c r="H302" s="144"/>
    </row>
    <row r="303" spans="1:8" ht="29.25" customHeight="1" x14ac:dyDescent="0.2">
      <c r="A303" s="147">
        <f>'High Risk Non-Compliant'!B259</f>
        <v>0</v>
      </c>
      <c r="B303" s="346">
        <f>'High Risk Non-Compliant'!C259</f>
        <v>0</v>
      </c>
      <c r="C303" s="346"/>
      <c r="D303" s="346">
        <f>'High Risk Non-Compliant'!D259</f>
        <v>0</v>
      </c>
      <c r="E303" s="346"/>
      <c r="F303" s="346"/>
      <c r="G303" s="144"/>
      <c r="H303" s="144"/>
    </row>
    <row r="304" spans="1:8" ht="29.25" customHeight="1" x14ac:dyDescent="0.2">
      <c r="A304" s="147">
        <f>'High Risk Non-Compliant'!B260</f>
        <v>0</v>
      </c>
      <c r="B304" s="346">
        <f>'High Risk Non-Compliant'!C260</f>
        <v>0</v>
      </c>
      <c r="C304" s="346"/>
      <c r="D304" s="346">
        <f>'High Risk Non-Compliant'!D260</f>
        <v>0</v>
      </c>
      <c r="E304" s="346"/>
      <c r="F304" s="346"/>
      <c r="G304" s="144"/>
      <c r="H304" s="144"/>
    </row>
    <row r="305" spans="1:8" ht="29.25" customHeight="1" x14ac:dyDescent="0.2">
      <c r="A305" s="147">
        <f>'High Risk Non-Compliant'!B261</f>
        <v>0</v>
      </c>
      <c r="B305" s="346">
        <f>'High Risk Non-Compliant'!C261</f>
        <v>0</v>
      </c>
      <c r="C305" s="346"/>
      <c r="D305" s="346">
        <f>'High Risk Non-Compliant'!D261</f>
        <v>0</v>
      </c>
      <c r="E305" s="346"/>
      <c r="F305" s="346"/>
      <c r="G305" s="144"/>
      <c r="H305" s="144"/>
    </row>
    <row r="306" spans="1:8" ht="29.25" customHeight="1" x14ac:dyDescent="0.2">
      <c r="A306" s="147">
        <f>'High Risk Non-Compliant'!B262</f>
        <v>0</v>
      </c>
      <c r="B306" s="346">
        <f>'High Risk Non-Compliant'!C262</f>
        <v>0</v>
      </c>
      <c r="C306" s="346"/>
      <c r="D306" s="346">
        <f>'High Risk Non-Compliant'!D262</f>
        <v>0</v>
      </c>
      <c r="E306" s="346"/>
      <c r="F306" s="346"/>
      <c r="G306" s="144"/>
      <c r="H306" s="144"/>
    </row>
    <row r="307" spans="1:8" ht="44" customHeight="1" x14ac:dyDescent="0.2">
      <c r="A307" s="147">
        <f>'High Risk Non-Compliant'!B263</f>
        <v>0</v>
      </c>
      <c r="B307" s="346">
        <f>'High Risk Non-Compliant'!C263</f>
        <v>0</v>
      </c>
      <c r="C307" s="346"/>
      <c r="D307" s="346">
        <f>'High Risk Non-Compliant'!D263</f>
        <v>0</v>
      </c>
      <c r="E307" s="346"/>
      <c r="F307" s="346"/>
      <c r="G307" s="144"/>
      <c r="H307" s="144"/>
    </row>
    <row r="308" spans="1:8" ht="29.25" customHeight="1" x14ac:dyDescent="0.2">
      <c r="A308" s="147">
        <f>'High Risk Non-Compliant'!B264</f>
        <v>0</v>
      </c>
      <c r="B308" s="346">
        <f>'High Risk Non-Compliant'!C264</f>
        <v>0</v>
      </c>
      <c r="C308" s="346"/>
      <c r="D308" s="346">
        <f>'High Risk Non-Compliant'!D264</f>
        <v>0</v>
      </c>
      <c r="E308" s="346"/>
      <c r="F308" s="346"/>
      <c r="G308" s="144"/>
      <c r="H308" s="144"/>
    </row>
    <row r="309" spans="1:8" x14ac:dyDescent="0.2">
      <c r="A309" s="147">
        <f>'High Risk Non-Compliant'!B265</f>
        <v>0</v>
      </c>
      <c r="B309" s="346">
        <f>'High Risk Non-Compliant'!C265</f>
        <v>0</v>
      </c>
      <c r="C309" s="346"/>
      <c r="D309" s="346">
        <f>'High Risk Non-Compliant'!D265</f>
        <v>0</v>
      </c>
      <c r="E309" s="346"/>
      <c r="F309" s="346"/>
      <c r="G309" s="144"/>
      <c r="H309" s="144"/>
    </row>
    <row r="310" spans="1:8" x14ac:dyDescent="0.2">
      <c r="A310" s="147">
        <f>'High Risk Non-Compliant'!B266</f>
        <v>0</v>
      </c>
      <c r="B310" s="346">
        <f>'High Risk Non-Compliant'!C266</f>
        <v>0</v>
      </c>
      <c r="C310" s="346"/>
      <c r="D310" s="346">
        <f>'High Risk Non-Compliant'!D266</f>
        <v>0</v>
      </c>
      <c r="E310" s="346"/>
      <c r="F310" s="346"/>
      <c r="G310" s="144"/>
      <c r="H310" s="144"/>
    </row>
    <row r="311" spans="1:8" ht="44" customHeight="1" x14ac:dyDescent="0.2">
      <c r="A311" s="147">
        <f>'High Risk Non-Compliant'!B267</f>
        <v>0</v>
      </c>
      <c r="B311" s="346">
        <f>'High Risk Non-Compliant'!C267</f>
        <v>0</v>
      </c>
      <c r="C311" s="346"/>
      <c r="D311" s="346">
        <f>'High Risk Non-Compliant'!D267</f>
        <v>0</v>
      </c>
      <c r="E311" s="346"/>
      <c r="F311" s="346"/>
      <c r="G311" s="144"/>
      <c r="H311" s="144"/>
    </row>
    <row r="312" spans="1:8" ht="44" customHeight="1" x14ac:dyDescent="0.2">
      <c r="A312" s="147">
        <f>'High Risk Non-Compliant'!B268</f>
        <v>0</v>
      </c>
      <c r="B312" s="346">
        <f>'High Risk Non-Compliant'!C268</f>
        <v>0</v>
      </c>
      <c r="C312" s="346"/>
      <c r="D312" s="346">
        <f>'High Risk Non-Compliant'!D268</f>
        <v>0</v>
      </c>
      <c r="E312" s="346"/>
      <c r="F312" s="346"/>
      <c r="G312" s="144"/>
      <c r="H312" s="144"/>
    </row>
    <row r="313" spans="1:8" ht="44" customHeight="1" x14ac:dyDescent="0.2">
      <c r="A313" s="147">
        <f>'High Risk Non-Compliant'!B269</f>
        <v>0</v>
      </c>
      <c r="B313" s="346">
        <f>'High Risk Non-Compliant'!C269</f>
        <v>0</v>
      </c>
      <c r="C313" s="346"/>
      <c r="D313" s="346">
        <f>'High Risk Non-Compliant'!D269</f>
        <v>0</v>
      </c>
      <c r="E313" s="346"/>
      <c r="F313" s="346"/>
      <c r="G313" s="144"/>
      <c r="H313" s="144"/>
    </row>
    <row r="314" spans="1:8" ht="44" customHeight="1" x14ac:dyDescent="0.2">
      <c r="A314" s="147">
        <f>'High Risk Non-Compliant'!B270</f>
        <v>0</v>
      </c>
      <c r="B314" s="346">
        <f>'High Risk Non-Compliant'!C270</f>
        <v>0</v>
      </c>
      <c r="C314" s="346"/>
      <c r="D314" s="346">
        <f>'High Risk Non-Compliant'!D270</f>
        <v>0</v>
      </c>
      <c r="E314" s="346"/>
      <c r="F314" s="346"/>
      <c r="G314" s="144"/>
      <c r="H314" s="144"/>
    </row>
    <row r="315" spans="1:8" ht="29.25" customHeight="1" x14ac:dyDescent="0.2">
      <c r="A315" s="147">
        <f>'High Risk Non-Compliant'!B271</f>
        <v>0</v>
      </c>
      <c r="B315" s="346">
        <f>'High Risk Non-Compliant'!C271</f>
        <v>0</v>
      </c>
      <c r="C315" s="346"/>
      <c r="D315" s="346">
        <f>'High Risk Non-Compliant'!D271</f>
        <v>0</v>
      </c>
      <c r="E315" s="346"/>
      <c r="F315" s="346"/>
      <c r="G315" s="144"/>
      <c r="H315" s="144"/>
    </row>
    <row r="316" spans="1:8" ht="29.25" customHeight="1" x14ac:dyDescent="0.2">
      <c r="A316" s="147">
        <f>'High Risk Non-Compliant'!B272</f>
        <v>0</v>
      </c>
      <c r="B316" s="346">
        <f>'High Risk Non-Compliant'!C272</f>
        <v>0</v>
      </c>
      <c r="C316" s="346"/>
      <c r="D316" s="346">
        <f>'High Risk Non-Compliant'!D272</f>
        <v>0</v>
      </c>
      <c r="E316" s="346"/>
      <c r="F316" s="346"/>
      <c r="G316" s="144"/>
      <c r="H316" s="144"/>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434" priority="1" operator="equal">
      <formula>"D"</formula>
    </cfRule>
    <cfRule type="cellIs" dxfId="2433" priority="2" operator="equal">
      <formula>"C"</formula>
    </cfRule>
    <cfRule type="cellIs" dxfId="2432" priority="3" operator="equal">
      <formula>"B"</formula>
    </cfRule>
    <cfRule type="cellIs" dxfId="2431" priority="4" operator="equal">
      <formula>"A"</formula>
    </cfRule>
    <cfRule type="cellIs" dxfId="243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55" t="s">
        <v>673</v>
      </c>
      <c r="B1" s="56" t="s">
        <v>903</v>
      </c>
    </row>
    <row r="2" spans="1:2" ht="85" x14ac:dyDescent="0.2">
      <c r="A2" s="55" t="s">
        <v>904</v>
      </c>
      <c r="B2" s="56" t="s">
        <v>905</v>
      </c>
    </row>
    <row r="3" spans="1:2" ht="85" x14ac:dyDescent="0.2">
      <c r="A3" s="55" t="s">
        <v>906</v>
      </c>
      <c r="B3" s="56" t="s">
        <v>907</v>
      </c>
    </row>
    <row r="4" spans="1:2" ht="34" x14ac:dyDescent="0.2">
      <c r="A4" s="55" t="s">
        <v>908</v>
      </c>
      <c r="B4" s="56" t="s">
        <v>909</v>
      </c>
    </row>
    <row r="5" spans="1:2" ht="51" x14ac:dyDescent="0.2">
      <c r="A5" s="55" t="s">
        <v>910</v>
      </c>
      <c r="B5" s="56" t="s">
        <v>911</v>
      </c>
    </row>
    <row r="6" spans="1:2" ht="85" x14ac:dyDescent="0.2">
      <c r="A6" s="55" t="s">
        <v>912</v>
      </c>
      <c r="B6" s="56" t="s">
        <v>913</v>
      </c>
    </row>
    <row r="7" spans="1:2" ht="85" x14ac:dyDescent="0.2">
      <c r="A7" s="55" t="s">
        <v>914</v>
      </c>
      <c r="B7" s="56" t="s">
        <v>915</v>
      </c>
    </row>
    <row r="8" spans="1:2" ht="51" x14ac:dyDescent="0.2">
      <c r="A8" s="55" t="s">
        <v>683</v>
      </c>
      <c r="B8" s="56" t="s">
        <v>916</v>
      </c>
    </row>
    <row r="9" spans="1:2" ht="34" x14ac:dyDescent="0.2">
      <c r="A9" s="55" t="s">
        <v>917</v>
      </c>
      <c r="B9" s="56" t="s">
        <v>918</v>
      </c>
    </row>
    <row r="10" spans="1:2" ht="17" x14ac:dyDescent="0.2">
      <c r="A10" s="55" t="s">
        <v>676</v>
      </c>
      <c r="B10" s="56" t="s">
        <v>919</v>
      </c>
    </row>
    <row r="11" spans="1:2" ht="85" x14ac:dyDescent="0.2">
      <c r="A11" s="55" t="s">
        <v>677</v>
      </c>
      <c r="B11" s="56" t="s">
        <v>920</v>
      </c>
    </row>
    <row r="12" spans="1:2" ht="68" x14ac:dyDescent="0.2">
      <c r="A12" s="55" t="s">
        <v>921</v>
      </c>
      <c r="B12" s="56" t="s">
        <v>922</v>
      </c>
    </row>
    <row r="13" spans="1:2" ht="102" x14ac:dyDescent="0.2">
      <c r="A13" s="55" t="s">
        <v>678</v>
      </c>
      <c r="B13" s="56" t="s">
        <v>923</v>
      </c>
    </row>
    <row r="14" spans="1:2" ht="34" x14ac:dyDescent="0.2">
      <c r="A14" s="55" t="s">
        <v>924</v>
      </c>
      <c r="B14" s="56" t="s">
        <v>925</v>
      </c>
    </row>
    <row r="15" spans="1:2" ht="119" x14ac:dyDescent="0.2">
      <c r="A15" s="55" t="s">
        <v>926</v>
      </c>
      <c r="B15" s="56" t="s">
        <v>927</v>
      </c>
    </row>
    <row r="16" spans="1:2" ht="34" x14ac:dyDescent="0.2">
      <c r="A16" s="55" t="s">
        <v>928</v>
      </c>
      <c r="B16" s="56" t="s">
        <v>929</v>
      </c>
    </row>
    <row r="17" spans="1:2" ht="34" x14ac:dyDescent="0.2">
      <c r="A17" s="55" t="s">
        <v>652</v>
      </c>
      <c r="B17" s="56" t="s">
        <v>930</v>
      </c>
    </row>
    <row r="18" spans="1:2" ht="51" x14ac:dyDescent="0.2">
      <c r="A18" s="55" t="s">
        <v>931</v>
      </c>
      <c r="B18" s="56" t="s">
        <v>932</v>
      </c>
    </row>
    <row r="19" spans="1:2" ht="34" x14ac:dyDescent="0.2">
      <c r="A19" s="55" t="s">
        <v>650</v>
      </c>
      <c r="B19" s="56" t="s">
        <v>933</v>
      </c>
    </row>
    <row r="20" spans="1:2" ht="51" x14ac:dyDescent="0.2">
      <c r="A20" s="55" t="s">
        <v>647</v>
      </c>
      <c r="B20" s="56" t="s">
        <v>934</v>
      </c>
    </row>
    <row r="21" spans="1:2" ht="51" x14ac:dyDescent="0.2">
      <c r="A21" s="55" t="s">
        <v>935</v>
      </c>
      <c r="B21" s="56" t="s">
        <v>936</v>
      </c>
    </row>
    <row r="22" spans="1:2" ht="34" x14ac:dyDescent="0.2">
      <c r="A22" s="55" t="s">
        <v>667</v>
      </c>
      <c r="B22" s="56" t="s">
        <v>937</v>
      </c>
    </row>
    <row r="23" spans="1:2" ht="68" x14ac:dyDescent="0.2">
      <c r="A23" s="55" t="s">
        <v>654</v>
      </c>
      <c r="B23" s="56" t="s">
        <v>938</v>
      </c>
    </row>
    <row r="24" spans="1:2" ht="34" x14ac:dyDescent="0.2">
      <c r="A24" s="55" t="s">
        <v>939</v>
      </c>
      <c r="B24" s="56" t="s">
        <v>940</v>
      </c>
    </row>
    <row r="25" spans="1:2" ht="51" x14ac:dyDescent="0.2">
      <c r="A25" s="55" t="s">
        <v>941</v>
      </c>
      <c r="B25" s="56" t="s">
        <v>942</v>
      </c>
    </row>
    <row r="26" spans="1:2" ht="51" x14ac:dyDescent="0.2">
      <c r="A26" s="55" t="s">
        <v>626</v>
      </c>
      <c r="B26" s="56" t="s">
        <v>943</v>
      </c>
    </row>
    <row r="27" spans="1:2" ht="85" x14ac:dyDescent="0.2">
      <c r="A27" s="55" t="s">
        <v>622</v>
      </c>
      <c r="B27" s="56" t="s">
        <v>944</v>
      </c>
    </row>
    <row r="28" spans="1:2" ht="68" x14ac:dyDescent="0.2">
      <c r="A28" s="55" t="s">
        <v>945</v>
      </c>
      <c r="B28" s="56" t="s">
        <v>946</v>
      </c>
    </row>
    <row r="29" spans="1:2" ht="68" x14ac:dyDescent="0.2">
      <c r="A29" s="55" t="s">
        <v>625</v>
      </c>
      <c r="B29" s="56" t="s">
        <v>947</v>
      </c>
    </row>
    <row r="30" spans="1:2" ht="85" x14ac:dyDescent="0.2">
      <c r="A30" s="55" t="s">
        <v>686</v>
      </c>
      <c r="B30" s="56" t="s">
        <v>948</v>
      </c>
    </row>
    <row r="31" spans="1:2" ht="119" x14ac:dyDescent="0.2">
      <c r="A31" s="55" t="s">
        <v>949</v>
      </c>
      <c r="B31" s="56" t="s">
        <v>950</v>
      </c>
    </row>
    <row r="32" spans="1:2" ht="68" x14ac:dyDescent="0.2">
      <c r="A32" s="55" t="s">
        <v>679</v>
      </c>
      <c r="B32" s="56" t="s">
        <v>951</v>
      </c>
    </row>
    <row r="33" spans="1:2" ht="85" x14ac:dyDescent="0.2">
      <c r="A33" s="55" t="s">
        <v>623</v>
      </c>
      <c r="B33" s="56" t="s">
        <v>952</v>
      </c>
    </row>
    <row r="34" spans="1:2" ht="85" x14ac:dyDescent="0.2">
      <c r="A34" s="55" t="s">
        <v>953</v>
      </c>
      <c r="B34" s="56" t="s">
        <v>954</v>
      </c>
    </row>
    <row r="35" spans="1:2" ht="51" x14ac:dyDescent="0.2">
      <c r="A35" s="55" t="s">
        <v>955</v>
      </c>
      <c r="B35" s="56" t="s">
        <v>956</v>
      </c>
    </row>
    <row r="36" spans="1:2" ht="68" x14ac:dyDescent="0.2">
      <c r="A36" s="55" t="s">
        <v>668</v>
      </c>
      <c r="B36" s="56" t="s">
        <v>957</v>
      </c>
    </row>
    <row r="37" spans="1:2" ht="51" x14ac:dyDescent="0.2">
      <c r="A37" s="55" t="s">
        <v>632</v>
      </c>
      <c r="B37" s="56" t="s">
        <v>958</v>
      </c>
    </row>
    <row r="38" spans="1:2" ht="68" x14ac:dyDescent="0.2">
      <c r="A38" s="55" t="s">
        <v>959</v>
      </c>
      <c r="B38" s="56" t="s">
        <v>960</v>
      </c>
    </row>
    <row r="39" spans="1:2" ht="85" x14ac:dyDescent="0.2">
      <c r="A39" s="55" t="s">
        <v>961</v>
      </c>
      <c r="B39" s="56" t="s">
        <v>962</v>
      </c>
    </row>
    <row r="40" spans="1:2" ht="85" x14ac:dyDescent="0.2">
      <c r="A40" s="55" t="s">
        <v>648</v>
      </c>
      <c r="B40" s="56" t="s">
        <v>963</v>
      </c>
    </row>
    <row r="41" spans="1:2" ht="51" x14ac:dyDescent="0.2">
      <c r="A41" s="55" t="s">
        <v>653</v>
      </c>
      <c r="B41" s="56" t="s">
        <v>964</v>
      </c>
    </row>
    <row r="42" spans="1:2" ht="51" x14ac:dyDescent="0.2">
      <c r="A42" s="55" t="s">
        <v>657</v>
      </c>
      <c r="B42" s="56" t="s">
        <v>965</v>
      </c>
    </row>
    <row r="43" spans="1:2" ht="51" x14ac:dyDescent="0.2">
      <c r="A43" s="55" t="s">
        <v>670</v>
      </c>
      <c r="B43" s="56" t="s">
        <v>966</v>
      </c>
    </row>
    <row r="44" spans="1:2" ht="68" x14ac:dyDescent="0.2">
      <c r="A44" s="55" t="s">
        <v>967</v>
      </c>
      <c r="B44" s="56" t="s">
        <v>968</v>
      </c>
    </row>
    <row r="45" spans="1:2" ht="102" x14ac:dyDescent="0.2">
      <c r="A45" s="55" t="s">
        <v>660</v>
      </c>
      <c r="B45" s="56" t="s">
        <v>969</v>
      </c>
    </row>
    <row r="46" spans="1:2" ht="51" x14ac:dyDescent="0.2">
      <c r="A46" s="55" t="s">
        <v>970</v>
      </c>
      <c r="B46" s="56" t="s">
        <v>971</v>
      </c>
    </row>
    <row r="47" spans="1:2" ht="68" x14ac:dyDescent="0.2">
      <c r="A47" s="55" t="s">
        <v>972</v>
      </c>
      <c r="B47" s="56" t="s">
        <v>973</v>
      </c>
    </row>
    <row r="48" spans="1:2" ht="51" x14ac:dyDescent="0.2">
      <c r="A48" s="55" t="s">
        <v>659</v>
      </c>
      <c r="B48" s="56" t="s">
        <v>974</v>
      </c>
    </row>
    <row r="49" spans="1:2" ht="34" x14ac:dyDescent="0.2">
      <c r="A49" s="55" t="s">
        <v>975</v>
      </c>
      <c r="B49" s="56" t="s">
        <v>976</v>
      </c>
    </row>
    <row r="50" spans="1:2" ht="34" x14ac:dyDescent="0.2">
      <c r="A50" s="55" t="s">
        <v>977</v>
      </c>
      <c r="B50" s="56" t="s">
        <v>978</v>
      </c>
    </row>
    <row r="51" spans="1:2" ht="51" x14ac:dyDescent="0.2">
      <c r="A51" s="55" t="s">
        <v>979</v>
      </c>
      <c r="B51" s="56" t="s">
        <v>980</v>
      </c>
    </row>
    <row r="52" spans="1:2" ht="34" x14ac:dyDescent="0.2">
      <c r="A52" s="55" t="s">
        <v>981</v>
      </c>
      <c r="B52" s="56" t="s">
        <v>982</v>
      </c>
    </row>
    <row r="53" spans="1:2" ht="85" x14ac:dyDescent="0.2">
      <c r="A53" s="55" t="s">
        <v>624</v>
      </c>
      <c r="B53" s="56" t="s">
        <v>983</v>
      </c>
    </row>
    <row r="54" spans="1:2" ht="68" x14ac:dyDescent="0.2">
      <c r="A54" s="55" t="s">
        <v>984</v>
      </c>
      <c r="B54" s="56" t="s">
        <v>985</v>
      </c>
    </row>
    <row r="55" spans="1:2" ht="51" x14ac:dyDescent="0.2">
      <c r="A55" s="55" t="s">
        <v>986</v>
      </c>
      <c r="B55" s="56" t="s">
        <v>987</v>
      </c>
    </row>
    <row r="56" spans="1:2" ht="68" x14ac:dyDescent="0.2">
      <c r="A56" s="55" t="s">
        <v>988</v>
      </c>
      <c r="B56" s="56" t="s">
        <v>989</v>
      </c>
    </row>
    <row r="57" spans="1:2" ht="85" x14ac:dyDescent="0.2">
      <c r="A57" s="55" t="s">
        <v>628</v>
      </c>
      <c r="B57" s="56" t="s">
        <v>990</v>
      </c>
    </row>
    <row r="58" spans="1:2" ht="51" x14ac:dyDescent="0.2">
      <c r="A58" s="55" t="s">
        <v>645</v>
      </c>
      <c r="B58" s="56" t="s">
        <v>991</v>
      </c>
    </row>
    <row r="59" spans="1:2" ht="51" x14ac:dyDescent="0.2">
      <c r="A59" s="55" t="s">
        <v>992</v>
      </c>
      <c r="B59" s="56" t="s">
        <v>993</v>
      </c>
    </row>
    <row r="60" spans="1:2" ht="153" x14ac:dyDescent="0.2">
      <c r="A60" s="55" t="s">
        <v>629</v>
      </c>
      <c r="B60" s="56" t="s">
        <v>994</v>
      </c>
    </row>
    <row r="61" spans="1:2" ht="51" x14ac:dyDescent="0.2">
      <c r="A61" s="55" t="s">
        <v>995</v>
      </c>
      <c r="B61" s="56" t="s">
        <v>996</v>
      </c>
    </row>
    <row r="62" spans="1:2" ht="34" x14ac:dyDescent="0.2">
      <c r="A62" s="55" t="s">
        <v>651</v>
      </c>
      <c r="B62" s="56" t="s">
        <v>997</v>
      </c>
    </row>
    <row r="63" spans="1:2" ht="34" x14ac:dyDescent="0.2">
      <c r="A63" s="55" t="s">
        <v>665</v>
      </c>
      <c r="B63" s="56" t="s">
        <v>998</v>
      </c>
    </row>
    <row r="64" spans="1:2" ht="51" x14ac:dyDescent="0.2">
      <c r="A64" s="55" t="s">
        <v>999</v>
      </c>
      <c r="B64" s="56" t="s">
        <v>1000</v>
      </c>
    </row>
    <row r="65" spans="1:2" ht="68" x14ac:dyDescent="0.2">
      <c r="A65" s="55" t="s">
        <v>1001</v>
      </c>
      <c r="B65" s="56" t="s">
        <v>1002</v>
      </c>
    </row>
    <row r="66" spans="1:2" ht="51" x14ac:dyDescent="0.2">
      <c r="A66" s="55" t="s">
        <v>1003</v>
      </c>
      <c r="B66" s="56" t="s">
        <v>1004</v>
      </c>
    </row>
    <row r="67" spans="1:2" ht="85" x14ac:dyDescent="0.2">
      <c r="A67" s="55" t="s">
        <v>627</v>
      </c>
      <c r="B67" s="56" t="s">
        <v>1005</v>
      </c>
    </row>
    <row r="68" spans="1:2" ht="85" x14ac:dyDescent="0.2">
      <c r="A68" s="55" t="s">
        <v>646</v>
      </c>
      <c r="B68" s="56" t="s">
        <v>1006</v>
      </c>
    </row>
    <row r="69" spans="1:2" ht="68" x14ac:dyDescent="0.2">
      <c r="A69" s="55" t="s">
        <v>1007</v>
      </c>
      <c r="B69" s="56" t="s">
        <v>1008</v>
      </c>
    </row>
    <row r="70" spans="1:2" ht="68" x14ac:dyDescent="0.2">
      <c r="A70" s="55" t="s">
        <v>680</v>
      </c>
      <c r="B70" s="56" t="s">
        <v>1009</v>
      </c>
    </row>
    <row r="71" spans="1:2" ht="34" x14ac:dyDescent="0.2">
      <c r="A71" s="55" t="s">
        <v>664</v>
      </c>
      <c r="B71" s="56" t="s">
        <v>1010</v>
      </c>
    </row>
    <row r="72" spans="1:2" ht="51" x14ac:dyDescent="0.2">
      <c r="A72" s="55" t="s">
        <v>658</v>
      </c>
      <c r="B72" s="56" t="s">
        <v>1011</v>
      </c>
    </row>
    <row r="73" spans="1:2" ht="51" x14ac:dyDescent="0.2">
      <c r="A73" s="55" t="s">
        <v>1012</v>
      </c>
      <c r="B73" s="56" t="s">
        <v>1013</v>
      </c>
    </row>
    <row r="74" spans="1:2" ht="102" x14ac:dyDescent="0.2">
      <c r="A74" s="55" t="s">
        <v>1014</v>
      </c>
      <c r="B74" s="56" t="s">
        <v>1015</v>
      </c>
    </row>
    <row r="75" spans="1:2" ht="68" x14ac:dyDescent="0.2">
      <c r="A75" s="55" t="s">
        <v>1016</v>
      </c>
      <c r="B75" s="56" t="s">
        <v>1017</v>
      </c>
    </row>
    <row r="76" spans="1:2" ht="34" x14ac:dyDescent="0.2">
      <c r="A76" s="55" t="s">
        <v>1018</v>
      </c>
      <c r="B76" s="56" t="s">
        <v>1019</v>
      </c>
    </row>
    <row r="77" spans="1:2" ht="85" x14ac:dyDescent="0.2">
      <c r="A77" s="55" t="s">
        <v>1020</v>
      </c>
      <c r="B77" s="56" t="s">
        <v>1021</v>
      </c>
    </row>
    <row r="78" spans="1:2" ht="136" x14ac:dyDescent="0.2">
      <c r="A78" s="55" t="s">
        <v>1022</v>
      </c>
      <c r="B78" s="56" t="s">
        <v>1023</v>
      </c>
    </row>
    <row r="79" spans="1:2" ht="85" x14ac:dyDescent="0.2">
      <c r="A79" s="55" t="s">
        <v>1024</v>
      </c>
      <c r="B79" s="56" t="s">
        <v>1025</v>
      </c>
    </row>
    <row r="80" spans="1:2" ht="85" x14ac:dyDescent="0.2">
      <c r="A80" s="55" t="s">
        <v>1026</v>
      </c>
      <c r="B80" s="56" t="s">
        <v>1027</v>
      </c>
    </row>
    <row r="81" spans="1:2" ht="51" x14ac:dyDescent="0.2">
      <c r="A81" s="55" t="s">
        <v>620</v>
      </c>
      <c r="B81" s="56" t="s">
        <v>1028</v>
      </c>
    </row>
    <row r="82" spans="1:2" ht="85" x14ac:dyDescent="0.2">
      <c r="A82" s="55" t="s">
        <v>1029</v>
      </c>
      <c r="B82" s="56" t="s">
        <v>1030</v>
      </c>
    </row>
    <row r="83" spans="1:2" ht="119" x14ac:dyDescent="0.2">
      <c r="A83" s="55" t="s">
        <v>1031</v>
      </c>
      <c r="B83" s="56" t="s">
        <v>1032</v>
      </c>
    </row>
    <row r="84" spans="1:2" ht="85" x14ac:dyDescent="0.2">
      <c r="A84" s="55" t="s">
        <v>1033</v>
      </c>
      <c r="B84" s="56" t="s">
        <v>1034</v>
      </c>
    </row>
    <row r="85" spans="1:2" ht="85" x14ac:dyDescent="0.2">
      <c r="A85" s="55" t="s">
        <v>630</v>
      </c>
      <c r="B85" s="56" t="s">
        <v>1035</v>
      </c>
    </row>
    <row r="86" spans="1:2" ht="85" x14ac:dyDescent="0.2">
      <c r="A86" s="55" t="s">
        <v>1036</v>
      </c>
      <c r="B86" s="56" t="s">
        <v>1037</v>
      </c>
    </row>
    <row r="87" spans="1:2" ht="68" x14ac:dyDescent="0.2">
      <c r="A87" s="55" t="s">
        <v>1038</v>
      </c>
      <c r="B87" s="56" t="s">
        <v>1039</v>
      </c>
    </row>
    <row r="88" spans="1:2" ht="51" x14ac:dyDescent="0.2">
      <c r="A88" s="55" t="s">
        <v>674</v>
      </c>
      <c r="B88" s="56" t="s">
        <v>1040</v>
      </c>
    </row>
    <row r="89" spans="1:2" ht="51" x14ac:dyDescent="0.2">
      <c r="A89" s="55" t="s">
        <v>1041</v>
      </c>
      <c r="B89" s="56" t="s">
        <v>1042</v>
      </c>
    </row>
    <row r="90" spans="1:2" ht="34" x14ac:dyDescent="0.2">
      <c r="A90" s="55" t="s">
        <v>1043</v>
      </c>
      <c r="B90" s="56" t="s">
        <v>1044</v>
      </c>
    </row>
    <row r="91" spans="1:2" ht="102" x14ac:dyDescent="0.2">
      <c r="A91" s="55" t="s">
        <v>1045</v>
      </c>
      <c r="B91" s="56" t="s">
        <v>1046</v>
      </c>
    </row>
    <row r="92" spans="1:2" ht="102" x14ac:dyDescent="0.2">
      <c r="A92" s="55" t="s">
        <v>1047</v>
      </c>
      <c r="B92" s="56" t="s">
        <v>1048</v>
      </c>
    </row>
    <row r="93" spans="1:2" ht="119" x14ac:dyDescent="0.2">
      <c r="A93" s="55" t="s">
        <v>621</v>
      </c>
      <c r="B93" s="56" t="s">
        <v>1049</v>
      </c>
    </row>
    <row r="94" spans="1:2" ht="68" x14ac:dyDescent="0.2">
      <c r="A94" s="55" t="s">
        <v>617</v>
      </c>
      <c r="B94" s="56" t="s">
        <v>1050</v>
      </c>
    </row>
    <row r="95" spans="1:2" ht="68" x14ac:dyDescent="0.2">
      <c r="A95" s="55" t="s">
        <v>619</v>
      </c>
      <c r="B95" s="56" t="s">
        <v>1051</v>
      </c>
    </row>
    <row r="96" spans="1:2" ht="68" x14ac:dyDescent="0.2">
      <c r="A96" s="55" t="s">
        <v>685</v>
      </c>
      <c r="B96" s="56" t="s">
        <v>1052</v>
      </c>
    </row>
    <row r="97" spans="1:2" ht="68" x14ac:dyDescent="0.2">
      <c r="A97" s="55" t="s">
        <v>1053</v>
      </c>
      <c r="B97" s="56" t="s">
        <v>1054</v>
      </c>
    </row>
    <row r="98" spans="1:2" ht="85" x14ac:dyDescent="0.2">
      <c r="A98" s="55" t="s">
        <v>1055</v>
      </c>
      <c r="B98" s="56" t="s">
        <v>1056</v>
      </c>
    </row>
    <row r="99" spans="1:2" ht="119" x14ac:dyDescent="0.2">
      <c r="A99" s="55" t="s">
        <v>1057</v>
      </c>
      <c r="B99" s="56" t="s">
        <v>1058</v>
      </c>
    </row>
    <row r="100" spans="1:2" ht="85" x14ac:dyDescent="0.2">
      <c r="A100" s="55" t="s">
        <v>675</v>
      </c>
      <c r="B100" s="56" t="s">
        <v>1059</v>
      </c>
    </row>
    <row r="101" spans="1:2" ht="85" x14ac:dyDescent="0.2">
      <c r="A101" s="55" t="s">
        <v>1060</v>
      </c>
      <c r="B101" s="56" t="s">
        <v>1061</v>
      </c>
    </row>
    <row r="102" spans="1:2" ht="51" x14ac:dyDescent="0.2">
      <c r="A102" s="55" t="s">
        <v>1062</v>
      </c>
      <c r="B102" s="56" t="s">
        <v>1063</v>
      </c>
    </row>
    <row r="103" spans="1:2" ht="68" x14ac:dyDescent="0.2">
      <c r="A103" s="55" t="s">
        <v>639</v>
      </c>
      <c r="B103" s="56" t="s">
        <v>1064</v>
      </c>
    </row>
    <row r="104" spans="1:2" ht="85" x14ac:dyDescent="0.2">
      <c r="A104" s="55" t="s">
        <v>616</v>
      </c>
      <c r="B104" s="56" t="s">
        <v>1065</v>
      </c>
    </row>
    <row r="105" spans="1:2" ht="102" x14ac:dyDescent="0.2">
      <c r="A105" s="55" t="s">
        <v>640</v>
      </c>
      <c r="B105" s="56" t="s">
        <v>1066</v>
      </c>
    </row>
    <row r="106" spans="1:2" ht="85" x14ac:dyDescent="0.2">
      <c r="A106" s="55" t="s">
        <v>641</v>
      </c>
      <c r="B106" s="56" t="s">
        <v>1067</v>
      </c>
    </row>
    <row r="107" spans="1:2" ht="136" x14ac:dyDescent="0.2">
      <c r="A107" s="55" t="s">
        <v>615</v>
      </c>
      <c r="B107" s="56" t="s">
        <v>1068</v>
      </c>
    </row>
    <row r="108" spans="1:2" ht="51" x14ac:dyDescent="0.2">
      <c r="A108" s="55" t="s">
        <v>1069</v>
      </c>
      <c r="B108" s="56" t="s">
        <v>1070</v>
      </c>
    </row>
    <row r="109" spans="1:2" ht="34" x14ac:dyDescent="0.2">
      <c r="A109" s="55" t="s">
        <v>1071</v>
      </c>
      <c r="B109" s="56" t="s">
        <v>1072</v>
      </c>
    </row>
    <row r="110" spans="1:2" ht="119" x14ac:dyDescent="0.2">
      <c r="A110" s="55" t="s">
        <v>618</v>
      </c>
      <c r="B110" s="56" t="s">
        <v>1073</v>
      </c>
    </row>
    <row r="111" spans="1:2" ht="85" x14ac:dyDescent="0.2">
      <c r="A111" s="55" t="s">
        <v>1074</v>
      </c>
      <c r="B111" s="56" t="s">
        <v>1075</v>
      </c>
    </row>
    <row r="112" spans="1:2" ht="85" x14ac:dyDescent="0.2">
      <c r="A112" s="55" t="s">
        <v>684</v>
      </c>
      <c r="B112" s="56" t="s">
        <v>1076</v>
      </c>
    </row>
    <row r="113" spans="1:2" ht="102" x14ac:dyDescent="0.2">
      <c r="A113" s="55" t="s">
        <v>1077</v>
      </c>
      <c r="B113" s="56" t="s">
        <v>1078</v>
      </c>
    </row>
    <row r="114" spans="1:2" ht="51" x14ac:dyDescent="0.2">
      <c r="A114" s="55" t="s">
        <v>1079</v>
      </c>
      <c r="B114" s="56" t="s">
        <v>1080</v>
      </c>
    </row>
    <row r="115" spans="1:2" ht="30" x14ac:dyDescent="0.15">
      <c r="A115" s="53" t="s">
        <v>649</v>
      </c>
      <c r="B115" s="50" t="s">
        <v>1081</v>
      </c>
    </row>
    <row r="116" spans="1:2" ht="34" x14ac:dyDescent="0.15">
      <c r="A116" s="49" t="s">
        <v>1082</v>
      </c>
      <c r="B116" s="50" t="s">
        <v>1083</v>
      </c>
    </row>
    <row r="117" spans="1:2" ht="45" x14ac:dyDescent="0.15">
      <c r="A117" s="52" t="s">
        <v>634</v>
      </c>
      <c r="B117" s="50" t="s">
        <v>1084</v>
      </c>
    </row>
    <row r="118" spans="1:2" ht="60" x14ac:dyDescent="0.15">
      <c r="A118" s="52" t="s">
        <v>635</v>
      </c>
      <c r="B118" s="50" t="s">
        <v>1085</v>
      </c>
    </row>
    <row r="119" spans="1:2" ht="17" x14ac:dyDescent="0.2">
      <c r="A119" s="54" t="s">
        <v>579</v>
      </c>
      <c r="B119" s="58" t="s">
        <v>1086</v>
      </c>
    </row>
    <row r="120" spans="1:2" ht="17" x14ac:dyDescent="0.2">
      <c r="A120" s="54" t="s">
        <v>573</v>
      </c>
      <c r="B120" s="58" t="s">
        <v>1087</v>
      </c>
    </row>
    <row r="121" spans="1:2" ht="17" x14ac:dyDescent="0.2">
      <c r="A121" s="54" t="s">
        <v>582</v>
      </c>
      <c r="B121" s="57" t="s">
        <v>1088</v>
      </c>
    </row>
    <row r="122" spans="1:2" ht="17" x14ac:dyDescent="0.2">
      <c r="A122" s="54" t="s">
        <v>589</v>
      </c>
      <c r="B122" s="57" t="s">
        <v>1089</v>
      </c>
    </row>
    <row r="123" spans="1:2" ht="17" x14ac:dyDescent="0.2">
      <c r="A123" s="54" t="s">
        <v>575</v>
      </c>
      <c r="B123" s="58" t="s">
        <v>1090</v>
      </c>
    </row>
    <row r="124" spans="1:2" ht="17" x14ac:dyDescent="0.2">
      <c r="A124" s="54" t="s">
        <v>578</v>
      </c>
      <c r="B124" s="58" t="s">
        <v>1091</v>
      </c>
    </row>
    <row r="125" spans="1:2" ht="17" x14ac:dyDescent="0.2">
      <c r="A125" s="54" t="s">
        <v>574</v>
      </c>
      <c r="B125" s="57" t="s">
        <v>1092</v>
      </c>
    </row>
    <row r="126" spans="1:2" ht="17" x14ac:dyDescent="0.2">
      <c r="A126" s="54" t="s">
        <v>1093</v>
      </c>
      <c r="B126" s="58" t="s">
        <v>1094</v>
      </c>
    </row>
    <row r="127" spans="1:2" ht="17" x14ac:dyDescent="0.2">
      <c r="A127" s="54" t="s">
        <v>583</v>
      </c>
      <c r="B127" s="57" t="s">
        <v>1095</v>
      </c>
    </row>
    <row r="128" spans="1:2" ht="17" x14ac:dyDescent="0.2">
      <c r="A128" s="54" t="s">
        <v>569</v>
      </c>
      <c r="B128" s="57" t="s">
        <v>1096</v>
      </c>
    </row>
    <row r="129" spans="1:2" ht="17" x14ac:dyDescent="0.2">
      <c r="A129" s="54" t="s">
        <v>1097</v>
      </c>
      <c r="B129" s="58" t="s">
        <v>1098</v>
      </c>
    </row>
    <row r="130" spans="1:2" ht="17" x14ac:dyDescent="0.2">
      <c r="A130" s="54" t="s">
        <v>572</v>
      </c>
      <c r="B130" s="58" t="s">
        <v>1099</v>
      </c>
    </row>
    <row r="131" spans="1:2" ht="17" x14ac:dyDescent="0.2">
      <c r="A131" s="54" t="s">
        <v>567</v>
      </c>
      <c r="B131" s="58" t="s">
        <v>1100</v>
      </c>
    </row>
    <row r="132" spans="1:2" ht="17" x14ac:dyDescent="0.2">
      <c r="A132" s="54" t="s">
        <v>570</v>
      </c>
      <c r="B132" s="58" t="s">
        <v>1101</v>
      </c>
    </row>
    <row r="133" spans="1:2" ht="17" x14ac:dyDescent="0.2">
      <c r="A133" s="54" t="s">
        <v>1102</v>
      </c>
      <c r="B133" s="57" t="s">
        <v>1103</v>
      </c>
    </row>
    <row r="134" spans="1:2" ht="17" x14ac:dyDescent="0.2">
      <c r="A134" s="54" t="s">
        <v>576</v>
      </c>
      <c r="B134" s="58" t="s">
        <v>1104</v>
      </c>
    </row>
    <row r="135" spans="1:2" ht="17" x14ac:dyDescent="0.2">
      <c r="A135" s="54" t="s">
        <v>590</v>
      </c>
      <c r="B135" s="58" t="s">
        <v>1105</v>
      </c>
    </row>
    <row r="136" spans="1:2" ht="17" x14ac:dyDescent="0.2">
      <c r="A136" s="54" t="s">
        <v>568</v>
      </c>
      <c r="B136" s="58" t="s">
        <v>1106</v>
      </c>
    </row>
    <row r="137" spans="1:2" ht="17" x14ac:dyDescent="0.2">
      <c r="A137" s="54" t="s">
        <v>586</v>
      </c>
      <c r="B137" s="58" t="s">
        <v>1107</v>
      </c>
    </row>
    <row r="138" spans="1:2" ht="17" x14ac:dyDescent="0.2">
      <c r="A138" s="54" t="s">
        <v>592</v>
      </c>
      <c r="B138" s="58" t="s">
        <v>1108</v>
      </c>
    </row>
    <row r="139" spans="1:2" x14ac:dyDescent="0.2">
      <c r="A139" s="59" t="s">
        <v>1109</v>
      </c>
      <c r="B139" s="59" t="s">
        <v>1110</v>
      </c>
    </row>
    <row r="140" spans="1:2" x14ac:dyDescent="0.2">
      <c r="A140" s="59" t="s">
        <v>773</v>
      </c>
      <c r="B140" s="59" t="s">
        <v>1111</v>
      </c>
    </row>
    <row r="141" spans="1:2" x14ac:dyDescent="0.2">
      <c r="A141" s="59" t="s">
        <v>781</v>
      </c>
      <c r="B141" s="59" t="s">
        <v>1112</v>
      </c>
    </row>
    <row r="142" spans="1:2" x14ac:dyDescent="0.2">
      <c r="A142" s="59" t="s">
        <v>1113</v>
      </c>
      <c r="B142" s="59" t="s">
        <v>1114</v>
      </c>
    </row>
    <row r="143" spans="1:2" x14ac:dyDescent="0.2">
      <c r="A143" s="59" t="s">
        <v>768</v>
      </c>
      <c r="B143" s="59" t="s">
        <v>1115</v>
      </c>
    </row>
    <row r="144" spans="1:2" x14ac:dyDescent="0.2">
      <c r="A144" s="59" t="s">
        <v>1116</v>
      </c>
      <c r="B144" s="59" t="s">
        <v>1117</v>
      </c>
    </row>
    <row r="145" spans="1:2" x14ac:dyDescent="0.2">
      <c r="A145" s="59" t="s">
        <v>1118</v>
      </c>
      <c r="B145" s="59" t="s">
        <v>1119</v>
      </c>
    </row>
    <row r="146" spans="1:2" x14ac:dyDescent="0.2">
      <c r="A146" s="59" t="s">
        <v>1120</v>
      </c>
      <c r="B146" s="59" t="s">
        <v>1121</v>
      </c>
    </row>
    <row r="147" spans="1:2" x14ac:dyDescent="0.2">
      <c r="A147" s="59" t="s">
        <v>1122</v>
      </c>
      <c r="B147" s="59" t="s">
        <v>1123</v>
      </c>
    </row>
    <row r="148" spans="1:2" x14ac:dyDescent="0.2">
      <c r="A148" s="59" t="s">
        <v>1124</v>
      </c>
      <c r="B148" s="59" t="s">
        <v>1125</v>
      </c>
    </row>
    <row r="149" spans="1:2" x14ac:dyDescent="0.2">
      <c r="A149" s="59" t="s">
        <v>1126</v>
      </c>
      <c r="B149" s="59" t="s">
        <v>1127</v>
      </c>
    </row>
    <row r="150" spans="1:2" x14ac:dyDescent="0.2">
      <c r="A150" s="59" t="s">
        <v>1128</v>
      </c>
      <c r="B150" s="59" t="s">
        <v>1129</v>
      </c>
    </row>
    <row r="151" spans="1:2" x14ac:dyDescent="0.2">
      <c r="A151" s="59" t="s">
        <v>805</v>
      </c>
      <c r="B151" s="59" t="s">
        <v>1130</v>
      </c>
    </row>
    <row r="152" spans="1:2" x14ac:dyDescent="0.2">
      <c r="A152" s="59" t="s">
        <v>696</v>
      </c>
      <c r="B152" s="59" t="s">
        <v>1131</v>
      </c>
    </row>
    <row r="153" spans="1:2" x14ac:dyDescent="0.2">
      <c r="A153" s="59" t="s">
        <v>1132</v>
      </c>
      <c r="B153" s="59" t="s">
        <v>1133</v>
      </c>
    </row>
    <row r="154" spans="1:2" x14ac:dyDescent="0.2">
      <c r="A154" s="59" t="s">
        <v>1134</v>
      </c>
      <c r="B154" s="59" t="s">
        <v>1135</v>
      </c>
    </row>
    <row r="155" spans="1:2" x14ac:dyDescent="0.2">
      <c r="A155" s="59" t="s">
        <v>1136</v>
      </c>
      <c r="B155" s="59" t="s">
        <v>1137</v>
      </c>
    </row>
    <row r="156" spans="1:2" x14ac:dyDescent="0.2">
      <c r="A156" s="59" t="s">
        <v>1138</v>
      </c>
      <c r="B156" s="59" t="s">
        <v>1139</v>
      </c>
    </row>
    <row r="157" spans="1:2" x14ac:dyDescent="0.2">
      <c r="A157" s="59" t="s">
        <v>1140</v>
      </c>
      <c r="B157" s="59" t="s">
        <v>1141</v>
      </c>
    </row>
    <row r="158" spans="1:2" x14ac:dyDescent="0.2">
      <c r="A158" s="59" t="s">
        <v>1142</v>
      </c>
      <c r="B158" s="59" t="s">
        <v>1143</v>
      </c>
    </row>
    <row r="159" spans="1:2" x14ac:dyDescent="0.2">
      <c r="A159" s="59" t="s">
        <v>1144</v>
      </c>
      <c r="B159" s="59" t="s">
        <v>1145</v>
      </c>
    </row>
    <row r="160" spans="1:2" x14ac:dyDescent="0.2">
      <c r="A160" s="59" t="s">
        <v>1146</v>
      </c>
      <c r="B160" s="59" t="s">
        <v>1147</v>
      </c>
    </row>
    <row r="161" spans="1:2" x14ac:dyDescent="0.2">
      <c r="A161" s="59" t="s">
        <v>1148</v>
      </c>
      <c r="B161" s="59" t="s">
        <v>1149</v>
      </c>
    </row>
    <row r="162" spans="1:2" x14ac:dyDescent="0.2">
      <c r="A162" s="59" t="s">
        <v>1150</v>
      </c>
      <c r="B162" s="59" t="s">
        <v>1151</v>
      </c>
    </row>
    <row r="163" spans="1:2" x14ac:dyDescent="0.2">
      <c r="A163" s="59" t="s">
        <v>776</v>
      </c>
      <c r="B163" s="59" t="s">
        <v>1152</v>
      </c>
    </row>
    <row r="164" spans="1:2" x14ac:dyDescent="0.2">
      <c r="A164" s="59" t="s">
        <v>791</v>
      </c>
      <c r="B164" s="59" t="s">
        <v>1153</v>
      </c>
    </row>
    <row r="165" spans="1:2" x14ac:dyDescent="0.2">
      <c r="A165" s="59" t="s">
        <v>1154</v>
      </c>
      <c r="B165" s="59" t="s">
        <v>1155</v>
      </c>
    </row>
    <row r="166" spans="1:2" x14ac:dyDescent="0.2">
      <c r="A166" s="59" t="s">
        <v>769</v>
      </c>
      <c r="B166" s="59" t="s">
        <v>1156</v>
      </c>
    </row>
    <row r="167" spans="1:2" x14ac:dyDescent="0.2">
      <c r="A167" s="59" t="s">
        <v>792</v>
      </c>
      <c r="B167" s="59" t="s">
        <v>1157</v>
      </c>
    </row>
    <row r="168" spans="1:2" x14ac:dyDescent="0.2">
      <c r="A168" s="59" t="s">
        <v>811</v>
      </c>
      <c r="B168" s="59" t="s">
        <v>1158</v>
      </c>
    </row>
    <row r="169" spans="1:2" x14ac:dyDescent="0.2">
      <c r="A169" s="59" t="s">
        <v>1159</v>
      </c>
      <c r="B169" s="59" t="s">
        <v>1160</v>
      </c>
    </row>
    <row r="170" spans="1:2" x14ac:dyDescent="0.2">
      <c r="A170" s="59" t="s">
        <v>1161</v>
      </c>
      <c r="B170" s="59" t="s">
        <v>1162</v>
      </c>
    </row>
    <row r="171" spans="1:2" x14ac:dyDescent="0.2">
      <c r="A171" s="59" t="s">
        <v>1163</v>
      </c>
      <c r="B171" s="59" t="s">
        <v>1164</v>
      </c>
    </row>
    <row r="172" spans="1:2" x14ac:dyDescent="0.2">
      <c r="A172" s="59" t="s">
        <v>1165</v>
      </c>
      <c r="B172" s="59" t="s">
        <v>1166</v>
      </c>
    </row>
    <row r="173" spans="1:2" x14ac:dyDescent="0.2">
      <c r="A173" s="59" t="s">
        <v>784</v>
      </c>
      <c r="B173" s="59" t="s">
        <v>1167</v>
      </c>
    </row>
    <row r="174" spans="1:2" x14ac:dyDescent="0.2">
      <c r="A174" s="59" t="s">
        <v>783</v>
      </c>
      <c r="B174" s="59" t="s">
        <v>1168</v>
      </c>
    </row>
    <row r="175" spans="1:2" x14ac:dyDescent="0.2">
      <c r="A175" s="59" t="s">
        <v>788</v>
      </c>
      <c r="B175" s="59" t="s">
        <v>1169</v>
      </c>
    </row>
    <row r="176" spans="1:2" x14ac:dyDescent="0.2">
      <c r="A176" s="59" t="s">
        <v>793</v>
      </c>
      <c r="B176" s="59" t="s">
        <v>1170</v>
      </c>
    </row>
    <row r="177" spans="1:2" x14ac:dyDescent="0.2">
      <c r="A177" s="59" t="s">
        <v>794</v>
      </c>
      <c r="B177" s="59" t="s">
        <v>1171</v>
      </c>
    </row>
    <row r="178" spans="1:2" x14ac:dyDescent="0.2">
      <c r="A178" s="59" t="s">
        <v>775</v>
      </c>
      <c r="B178" s="59" t="s">
        <v>1172</v>
      </c>
    </row>
    <row r="179" spans="1:2" x14ac:dyDescent="0.2">
      <c r="A179" s="59" t="s">
        <v>808</v>
      </c>
      <c r="B179" s="59" t="s">
        <v>1173</v>
      </c>
    </row>
    <row r="180" spans="1:2" x14ac:dyDescent="0.2">
      <c r="A180" s="59" t="s">
        <v>813</v>
      </c>
      <c r="B180" s="59" t="s">
        <v>1174</v>
      </c>
    </row>
    <row r="181" spans="1:2" x14ac:dyDescent="0.2">
      <c r="A181" s="59" t="s">
        <v>809</v>
      </c>
      <c r="B181" s="59" t="s">
        <v>1175</v>
      </c>
    </row>
    <row r="182" spans="1:2" x14ac:dyDescent="0.2">
      <c r="A182" s="59" t="s">
        <v>779</v>
      </c>
      <c r="B182" s="59" t="s">
        <v>1176</v>
      </c>
    </row>
    <row r="183" spans="1:2" x14ac:dyDescent="0.2">
      <c r="A183" s="59" t="s">
        <v>785</v>
      </c>
      <c r="B183" s="59" t="s">
        <v>1177</v>
      </c>
    </row>
    <row r="184" spans="1:2" x14ac:dyDescent="0.2">
      <c r="A184" s="59" t="s">
        <v>1178</v>
      </c>
      <c r="B184" s="59" t="s">
        <v>1179</v>
      </c>
    </row>
    <row r="185" spans="1:2" x14ac:dyDescent="0.2">
      <c r="A185" s="59" t="s">
        <v>1180</v>
      </c>
      <c r="B185" s="59" t="s">
        <v>1181</v>
      </c>
    </row>
    <row r="186" spans="1:2" x14ac:dyDescent="0.2">
      <c r="A186" s="59" t="s">
        <v>1182</v>
      </c>
      <c r="B186" s="59" t="s">
        <v>1183</v>
      </c>
    </row>
    <row r="187" spans="1:2" x14ac:dyDescent="0.2">
      <c r="A187" s="59" t="s">
        <v>1184</v>
      </c>
      <c r="B187" s="59" t="s">
        <v>1185</v>
      </c>
    </row>
    <row r="188" spans="1:2" x14ac:dyDescent="0.2">
      <c r="A188" s="59" t="s">
        <v>698</v>
      </c>
      <c r="B188" s="59" t="s">
        <v>1186</v>
      </c>
    </row>
    <row r="189" spans="1:2" x14ac:dyDescent="0.2">
      <c r="A189" s="59" t="s">
        <v>1187</v>
      </c>
      <c r="B189" s="59" t="s">
        <v>1188</v>
      </c>
    </row>
    <row r="190" spans="1:2" x14ac:dyDescent="0.2">
      <c r="A190" s="59" t="s">
        <v>810</v>
      </c>
      <c r="B190" s="59" t="s">
        <v>1189</v>
      </c>
    </row>
    <row r="191" spans="1:2" x14ac:dyDescent="0.2">
      <c r="A191" s="59" t="s">
        <v>806</v>
      </c>
      <c r="B191" s="59" t="s">
        <v>1190</v>
      </c>
    </row>
    <row r="192" spans="1:2" x14ac:dyDescent="0.2">
      <c r="A192" s="59" t="s">
        <v>1191</v>
      </c>
      <c r="B192" s="59" t="s">
        <v>1192</v>
      </c>
    </row>
    <row r="193" spans="1:2" x14ac:dyDescent="0.2">
      <c r="A193" s="59" t="s">
        <v>1193</v>
      </c>
      <c r="B193" s="59" t="s">
        <v>1194</v>
      </c>
    </row>
    <row r="194" spans="1:2" x14ac:dyDescent="0.2">
      <c r="A194" s="59" t="s">
        <v>778</v>
      </c>
      <c r="B194" s="59" t="s">
        <v>1195</v>
      </c>
    </row>
    <row r="195" spans="1:2" x14ac:dyDescent="0.2">
      <c r="A195" s="59" t="s">
        <v>1196</v>
      </c>
      <c r="B195" s="59" t="s">
        <v>1197</v>
      </c>
    </row>
    <row r="196" spans="1:2" x14ac:dyDescent="0.2">
      <c r="A196" s="59" t="s">
        <v>772</v>
      </c>
      <c r="B196" s="59" t="s">
        <v>1198</v>
      </c>
    </row>
    <row r="197" spans="1:2" x14ac:dyDescent="0.2">
      <c r="A197" s="59" t="s">
        <v>812</v>
      </c>
      <c r="B197" s="59" t="s">
        <v>1199</v>
      </c>
    </row>
    <row r="198" spans="1:2" x14ac:dyDescent="0.2">
      <c r="A198" s="59" t="s">
        <v>1200</v>
      </c>
      <c r="B198" s="59" t="s">
        <v>1201</v>
      </c>
    </row>
    <row r="199" spans="1:2" x14ac:dyDescent="0.2">
      <c r="A199" s="59" t="s">
        <v>1202</v>
      </c>
      <c r="B199" s="59" t="s">
        <v>1203</v>
      </c>
    </row>
    <row r="200" spans="1:2" x14ac:dyDescent="0.2">
      <c r="A200" s="59" t="s">
        <v>1204</v>
      </c>
      <c r="B200" s="59" t="s">
        <v>1205</v>
      </c>
    </row>
    <row r="201" spans="1:2" x14ac:dyDescent="0.2">
      <c r="A201" s="59" t="s">
        <v>1206</v>
      </c>
      <c r="B201" s="59" t="s">
        <v>1207</v>
      </c>
    </row>
    <row r="202" spans="1:2" x14ac:dyDescent="0.2">
      <c r="A202" s="59" t="s">
        <v>1208</v>
      </c>
      <c r="B202" s="59" t="s">
        <v>1209</v>
      </c>
    </row>
    <row r="203" spans="1:2" x14ac:dyDescent="0.2">
      <c r="A203" s="59" t="s">
        <v>795</v>
      </c>
      <c r="B203" s="59" t="s">
        <v>1210</v>
      </c>
    </row>
    <row r="204" spans="1:2" x14ac:dyDescent="0.2">
      <c r="A204" s="59" t="s">
        <v>804</v>
      </c>
      <c r="B204" s="59" t="s">
        <v>1211</v>
      </c>
    </row>
    <row r="205" spans="1:2" x14ac:dyDescent="0.2">
      <c r="A205" s="59" t="s">
        <v>1212</v>
      </c>
      <c r="B205" s="59" t="s">
        <v>1213</v>
      </c>
    </row>
    <row r="206" spans="1:2" x14ac:dyDescent="0.2">
      <c r="A206" s="59" t="s">
        <v>1214</v>
      </c>
      <c r="B206" s="59" t="s">
        <v>1215</v>
      </c>
    </row>
    <row r="207" spans="1:2" x14ac:dyDescent="0.2">
      <c r="A207" s="59" t="s">
        <v>1216</v>
      </c>
      <c r="B207" s="59" t="s">
        <v>1217</v>
      </c>
    </row>
    <row r="208" spans="1:2" x14ac:dyDescent="0.2">
      <c r="A208" s="59" t="s">
        <v>1218</v>
      </c>
      <c r="B208" s="59" t="s">
        <v>1219</v>
      </c>
    </row>
    <row r="209" spans="1:2" x14ac:dyDescent="0.2">
      <c r="A209" s="59" t="s">
        <v>798</v>
      </c>
      <c r="B209" s="59" t="s">
        <v>1220</v>
      </c>
    </row>
    <row r="210" spans="1:2" x14ac:dyDescent="0.2">
      <c r="A210" s="59" t="s">
        <v>815</v>
      </c>
      <c r="B210" s="59" t="s">
        <v>1221</v>
      </c>
    </row>
    <row r="211" spans="1:2" x14ac:dyDescent="0.2">
      <c r="A211" s="59" t="s">
        <v>1222</v>
      </c>
      <c r="B211" s="59" t="s">
        <v>1223</v>
      </c>
    </row>
    <row r="212" spans="1:2" x14ac:dyDescent="0.2">
      <c r="A212" s="59" t="s">
        <v>1224</v>
      </c>
      <c r="B212" s="59" t="s">
        <v>1225</v>
      </c>
    </row>
    <row r="213" spans="1:2" x14ac:dyDescent="0.2">
      <c r="A213" s="59" t="s">
        <v>1226</v>
      </c>
      <c r="B213" s="59" t="s">
        <v>1227</v>
      </c>
    </row>
    <row r="214" spans="1:2" x14ac:dyDescent="0.2">
      <c r="A214" s="59" t="s">
        <v>1228</v>
      </c>
      <c r="B214" s="59" t="s">
        <v>1229</v>
      </c>
    </row>
    <row r="215" spans="1:2" x14ac:dyDescent="0.2">
      <c r="A215" s="59" t="s">
        <v>1230</v>
      </c>
      <c r="B215" s="59" t="s">
        <v>1231</v>
      </c>
    </row>
    <row r="216" spans="1:2" x14ac:dyDescent="0.2">
      <c r="A216" s="59" t="s">
        <v>1232</v>
      </c>
      <c r="B216" s="59" t="s">
        <v>1233</v>
      </c>
    </row>
    <row r="217" spans="1:2" x14ac:dyDescent="0.2">
      <c r="A217" s="59" t="s">
        <v>1234</v>
      </c>
      <c r="B217" s="59" t="s">
        <v>1235</v>
      </c>
    </row>
    <row r="218" spans="1:2" x14ac:dyDescent="0.2">
      <c r="A218" s="59" t="s">
        <v>1236</v>
      </c>
      <c r="B218" s="59" t="s">
        <v>1237</v>
      </c>
    </row>
    <row r="219" spans="1:2" x14ac:dyDescent="0.2">
      <c r="A219" s="59" t="s">
        <v>1238</v>
      </c>
      <c r="B219" s="59" t="s">
        <v>1239</v>
      </c>
    </row>
    <row r="220" spans="1:2" x14ac:dyDescent="0.2">
      <c r="A220" s="59" t="s">
        <v>1240</v>
      </c>
      <c r="B220" s="59" t="s">
        <v>1241</v>
      </c>
    </row>
    <row r="221" spans="1:2" x14ac:dyDescent="0.2">
      <c r="A221" s="59" t="s">
        <v>1242</v>
      </c>
      <c r="B221" s="59" t="s">
        <v>1243</v>
      </c>
    </row>
    <row r="222" spans="1:2" x14ac:dyDescent="0.2">
      <c r="A222" s="59" t="s">
        <v>1244</v>
      </c>
      <c r="B222" s="59" t="s">
        <v>1245</v>
      </c>
    </row>
    <row r="223" spans="1:2" x14ac:dyDescent="0.2">
      <c r="A223" s="59" t="s">
        <v>1246</v>
      </c>
      <c r="B223" s="59" t="s">
        <v>1247</v>
      </c>
    </row>
    <row r="224" spans="1:2" x14ac:dyDescent="0.2">
      <c r="A224" s="59" t="s">
        <v>1248</v>
      </c>
      <c r="B224" s="59" t="s">
        <v>1249</v>
      </c>
    </row>
    <row r="225" spans="1:2" x14ac:dyDescent="0.2">
      <c r="A225" s="59" t="s">
        <v>1250</v>
      </c>
      <c r="B225" s="59" t="s">
        <v>1251</v>
      </c>
    </row>
    <row r="226" spans="1:2" x14ac:dyDescent="0.2">
      <c r="A226" s="59" t="s">
        <v>1252</v>
      </c>
      <c r="B226" s="59" t="s">
        <v>1253</v>
      </c>
    </row>
    <row r="227" spans="1:2" x14ac:dyDescent="0.2">
      <c r="A227" s="59" t="s">
        <v>1254</v>
      </c>
      <c r="B227" s="59" t="s">
        <v>1255</v>
      </c>
    </row>
    <row r="228" spans="1:2" x14ac:dyDescent="0.2">
      <c r="A228" s="59" t="s">
        <v>1256</v>
      </c>
      <c r="B228" s="59" t="s">
        <v>1257</v>
      </c>
    </row>
    <row r="229" spans="1:2" x14ac:dyDescent="0.2">
      <c r="A229" s="59" t="s">
        <v>1258</v>
      </c>
      <c r="B229" s="59" t="s">
        <v>1259</v>
      </c>
    </row>
    <row r="230" spans="1:2" x14ac:dyDescent="0.2">
      <c r="A230" s="59" t="s">
        <v>1260</v>
      </c>
      <c r="B230" s="59" t="s">
        <v>1261</v>
      </c>
    </row>
    <row r="231" spans="1:2" x14ac:dyDescent="0.2">
      <c r="A231" s="59" t="s">
        <v>1262</v>
      </c>
      <c r="B231" s="59" t="s">
        <v>1263</v>
      </c>
    </row>
    <row r="232" spans="1:2" x14ac:dyDescent="0.2">
      <c r="A232" s="59" t="s">
        <v>1264</v>
      </c>
      <c r="B232" s="59" t="s">
        <v>1265</v>
      </c>
    </row>
    <row r="233" spans="1:2" x14ac:dyDescent="0.2">
      <c r="A233" s="59" t="s">
        <v>1266</v>
      </c>
      <c r="B233" s="59" t="s">
        <v>1267</v>
      </c>
    </row>
    <row r="234" spans="1:2" x14ac:dyDescent="0.2">
      <c r="A234" s="59" t="s">
        <v>1268</v>
      </c>
      <c r="B234" s="59" t="s">
        <v>1269</v>
      </c>
    </row>
    <row r="235" spans="1:2" x14ac:dyDescent="0.2">
      <c r="A235" s="59" t="s">
        <v>1270</v>
      </c>
      <c r="B235" s="59" t="s">
        <v>1271</v>
      </c>
    </row>
    <row r="236" spans="1:2" x14ac:dyDescent="0.2">
      <c r="A236" s="59" t="s">
        <v>1272</v>
      </c>
      <c r="B236" s="59" t="s">
        <v>1273</v>
      </c>
    </row>
    <row r="237" spans="1:2" ht="34" x14ac:dyDescent="0.2">
      <c r="A237" s="49" t="s">
        <v>770</v>
      </c>
      <c r="B237" s="58" t="s">
        <v>1274</v>
      </c>
    </row>
    <row r="238" spans="1:2" ht="51" x14ac:dyDescent="0.2">
      <c r="A238" s="49" t="s">
        <v>774</v>
      </c>
      <c r="B238" s="58" t="s">
        <v>1275</v>
      </c>
    </row>
    <row r="239" spans="1:2" ht="34" x14ac:dyDescent="0.2">
      <c r="A239" s="49" t="s">
        <v>777</v>
      </c>
      <c r="B239" s="58" t="s">
        <v>1276</v>
      </c>
    </row>
    <row r="240" spans="1:2" ht="34" x14ac:dyDescent="0.2">
      <c r="A240" s="49" t="s">
        <v>782</v>
      </c>
      <c r="B240" s="58" t="s">
        <v>1277</v>
      </c>
    </row>
    <row r="241" spans="1:2" ht="34" x14ac:dyDescent="0.2">
      <c r="A241" s="49" t="s">
        <v>790</v>
      </c>
      <c r="B241" s="58" t="s">
        <v>1278</v>
      </c>
    </row>
    <row r="242" spans="1:2" ht="51" x14ac:dyDescent="0.2">
      <c r="A242" s="49" t="s">
        <v>796</v>
      </c>
      <c r="B242" s="58" t="s">
        <v>1279</v>
      </c>
    </row>
    <row r="243" spans="1:2" ht="68" x14ac:dyDescent="0.2">
      <c r="A243" s="49" t="s">
        <v>802</v>
      </c>
      <c r="B243" s="58" t="s">
        <v>1280</v>
      </c>
    </row>
    <row r="244" spans="1:2" ht="85" x14ac:dyDescent="0.2">
      <c r="A244" s="49" t="s">
        <v>803</v>
      </c>
      <c r="B244" s="58" t="s">
        <v>1281</v>
      </c>
    </row>
    <row r="245" spans="1:2" ht="34" x14ac:dyDescent="0.2">
      <c r="A245" s="49" t="s">
        <v>814</v>
      </c>
      <c r="B245" s="58" t="s">
        <v>1282</v>
      </c>
    </row>
    <row r="246" spans="1:2" ht="17" x14ac:dyDescent="0.2">
      <c r="A246" s="49" t="s">
        <v>714</v>
      </c>
      <c r="B246" s="58" t="s">
        <v>1283</v>
      </c>
    </row>
    <row r="247" spans="1:2" ht="17" x14ac:dyDescent="0.2">
      <c r="A247" s="49" t="s">
        <v>701</v>
      </c>
      <c r="B247" s="58" t="s">
        <v>1284</v>
      </c>
    </row>
    <row r="248" spans="1:2" ht="17" x14ac:dyDescent="0.2">
      <c r="A248" s="49" t="s">
        <v>736</v>
      </c>
      <c r="B248" s="58" t="s">
        <v>1285</v>
      </c>
    </row>
    <row r="249" spans="1:2" ht="17" x14ac:dyDescent="0.2">
      <c r="A249" s="49" t="s">
        <v>706</v>
      </c>
      <c r="B249" s="58" t="s">
        <v>1286</v>
      </c>
    </row>
    <row r="250" spans="1:2" ht="17" x14ac:dyDescent="0.2">
      <c r="A250" s="49" t="s">
        <v>1287</v>
      </c>
      <c r="B250" s="58" t="s">
        <v>1288</v>
      </c>
    </row>
    <row r="251" spans="1:2" ht="17" x14ac:dyDescent="0.2">
      <c r="A251" s="49" t="s">
        <v>1289</v>
      </c>
      <c r="B251" s="58" t="s">
        <v>1290</v>
      </c>
    </row>
    <row r="252" spans="1:2" ht="17" x14ac:dyDescent="0.2">
      <c r="A252" s="49" t="s">
        <v>752</v>
      </c>
      <c r="B252" s="58" t="s">
        <v>1291</v>
      </c>
    </row>
    <row r="253" spans="1:2" ht="17" x14ac:dyDescent="0.2">
      <c r="A253" s="49" t="s">
        <v>762</v>
      </c>
      <c r="B253" s="58" t="s">
        <v>1292</v>
      </c>
    </row>
    <row r="254" spans="1:2" ht="17" x14ac:dyDescent="0.2">
      <c r="A254" s="49" t="s">
        <v>1293</v>
      </c>
      <c r="B254" s="58" t="s">
        <v>1294</v>
      </c>
    </row>
    <row r="255" spans="1:2" ht="17" x14ac:dyDescent="0.2">
      <c r="A255" s="49" t="s">
        <v>1295</v>
      </c>
      <c r="B255" s="58" t="s">
        <v>1296</v>
      </c>
    </row>
    <row r="256" spans="1:2" ht="17" x14ac:dyDescent="0.2">
      <c r="A256" s="49" t="s">
        <v>1297</v>
      </c>
      <c r="B256" s="58" t="s">
        <v>1298</v>
      </c>
    </row>
    <row r="257" spans="1:2" ht="17" x14ac:dyDescent="0.2">
      <c r="A257" s="49" t="s">
        <v>1299</v>
      </c>
      <c r="B257" s="58" t="s">
        <v>1300</v>
      </c>
    </row>
    <row r="258" spans="1:2" ht="17" x14ac:dyDescent="0.2">
      <c r="A258" s="49" t="s">
        <v>1301</v>
      </c>
      <c r="B258" s="58" t="s">
        <v>1302</v>
      </c>
    </row>
    <row r="259" spans="1:2" ht="17" x14ac:dyDescent="0.2">
      <c r="A259" s="49" t="s">
        <v>1303</v>
      </c>
      <c r="B259" s="58" t="s">
        <v>1304</v>
      </c>
    </row>
    <row r="260" spans="1:2" ht="17" x14ac:dyDescent="0.2">
      <c r="A260" s="49" t="s">
        <v>1305</v>
      </c>
      <c r="B260" s="58" t="s">
        <v>1306</v>
      </c>
    </row>
    <row r="261" spans="1:2" ht="17" x14ac:dyDescent="0.2">
      <c r="A261" s="49" t="s">
        <v>1307</v>
      </c>
      <c r="B261" s="57" t="s">
        <v>1308</v>
      </c>
    </row>
    <row r="262" spans="1:2" ht="17" x14ac:dyDescent="0.2">
      <c r="A262" s="49" t="s">
        <v>1309</v>
      </c>
      <c r="B262" s="57" t="s">
        <v>1310</v>
      </c>
    </row>
    <row r="263" spans="1:2" ht="17" x14ac:dyDescent="0.2">
      <c r="A263" s="49" t="s">
        <v>1311</v>
      </c>
      <c r="B263" s="57" t="s">
        <v>1312</v>
      </c>
    </row>
    <row r="264" spans="1:2" ht="17" x14ac:dyDescent="0.2">
      <c r="A264" s="49" t="s">
        <v>740</v>
      </c>
      <c r="B264" s="57" t="s">
        <v>1313</v>
      </c>
    </row>
    <row r="265" spans="1:2" ht="17" x14ac:dyDescent="0.2">
      <c r="A265" s="49" t="s">
        <v>1314</v>
      </c>
      <c r="B265" s="57" t="s">
        <v>1315</v>
      </c>
    </row>
    <row r="266" spans="1:2" ht="17" x14ac:dyDescent="0.2">
      <c r="A266" s="49" t="s">
        <v>1316</v>
      </c>
      <c r="B266" s="57" t="s">
        <v>1317</v>
      </c>
    </row>
    <row r="267" spans="1:2" ht="17" x14ac:dyDescent="0.2">
      <c r="A267" s="49" t="s">
        <v>725</v>
      </c>
      <c r="B267" s="57" t="s">
        <v>1318</v>
      </c>
    </row>
    <row r="268" spans="1:2" ht="17" x14ac:dyDescent="0.2">
      <c r="A268" s="49" t="s">
        <v>750</v>
      </c>
      <c r="B268" s="57" t="s">
        <v>1319</v>
      </c>
    </row>
    <row r="269" spans="1:2" ht="17" x14ac:dyDescent="0.2">
      <c r="A269" s="49" t="s">
        <v>758</v>
      </c>
      <c r="B269" s="57" t="s">
        <v>1320</v>
      </c>
    </row>
    <row r="270" spans="1:2" ht="17" x14ac:dyDescent="0.2">
      <c r="A270" s="49" t="s">
        <v>1321</v>
      </c>
      <c r="B270" s="57" t="s">
        <v>1322</v>
      </c>
    </row>
    <row r="271" spans="1:2" ht="17" x14ac:dyDescent="0.2">
      <c r="A271" s="49" t="s">
        <v>739</v>
      </c>
      <c r="B271" s="57" t="s">
        <v>1323</v>
      </c>
    </row>
    <row r="272" spans="1:2" ht="17" x14ac:dyDescent="0.2">
      <c r="A272" s="49" t="s">
        <v>765</v>
      </c>
      <c r="B272" s="57" t="s">
        <v>1324</v>
      </c>
    </row>
    <row r="273" spans="1:2" ht="17" x14ac:dyDescent="0.2">
      <c r="A273" s="49" t="s">
        <v>1325</v>
      </c>
      <c r="B273" s="57" t="s">
        <v>1326</v>
      </c>
    </row>
    <row r="274" spans="1:2" ht="17" x14ac:dyDescent="0.2">
      <c r="A274" s="49" t="s">
        <v>1327</v>
      </c>
      <c r="B274" s="57" t="s">
        <v>1328</v>
      </c>
    </row>
    <row r="275" spans="1:2" ht="17" x14ac:dyDescent="0.2">
      <c r="A275" s="49" t="s">
        <v>1329</v>
      </c>
      <c r="B275" s="57" t="s">
        <v>1330</v>
      </c>
    </row>
    <row r="276" spans="1:2" ht="17" x14ac:dyDescent="0.2">
      <c r="A276" s="49" t="s">
        <v>1331</v>
      </c>
      <c r="B276" s="57" t="s">
        <v>1332</v>
      </c>
    </row>
    <row r="277" spans="1:2" ht="17" x14ac:dyDescent="0.2">
      <c r="A277" s="49" t="s">
        <v>1333</v>
      </c>
      <c r="B277" s="57" t="s">
        <v>1334</v>
      </c>
    </row>
    <row r="278" spans="1:2" ht="17" x14ac:dyDescent="0.2">
      <c r="A278" s="49" t="s">
        <v>1335</v>
      </c>
      <c r="B278" s="57" t="s">
        <v>1336</v>
      </c>
    </row>
    <row r="279" spans="1:2" ht="17" x14ac:dyDescent="0.2">
      <c r="A279" s="49" t="s">
        <v>1337</v>
      </c>
      <c r="B279" s="57" t="s">
        <v>1338</v>
      </c>
    </row>
    <row r="280" spans="1:2" ht="17" x14ac:dyDescent="0.2">
      <c r="A280" s="49" t="s">
        <v>1339</v>
      </c>
      <c r="B280" s="57" t="s">
        <v>1340</v>
      </c>
    </row>
    <row r="281" spans="1:2" ht="17" x14ac:dyDescent="0.2">
      <c r="A281" s="49" t="s">
        <v>1341</v>
      </c>
      <c r="B281" s="57" t="s">
        <v>1342</v>
      </c>
    </row>
    <row r="282" spans="1:2" ht="17" x14ac:dyDescent="0.2">
      <c r="A282" s="49" t="s">
        <v>1343</v>
      </c>
      <c r="B282" s="57" t="s">
        <v>1344</v>
      </c>
    </row>
    <row r="283" spans="1:2" ht="17" x14ac:dyDescent="0.2">
      <c r="A283" s="49" t="s">
        <v>722</v>
      </c>
      <c r="B283" s="57" t="s">
        <v>1345</v>
      </c>
    </row>
    <row r="284" spans="1:2" ht="17" x14ac:dyDescent="0.2">
      <c r="A284" s="49" t="s">
        <v>1346</v>
      </c>
      <c r="B284" s="57" t="s">
        <v>1347</v>
      </c>
    </row>
    <row r="285" spans="1:2" ht="17" x14ac:dyDescent="0.2">
      <c r="A285" s="49" t="s">
        <v>1348</v>
      </c>
      <c r="B285" s="57" t="s">
        <v>1349</v>
      </c>
    </row>
    <row r="286" spans="1:2" ht="17" x14ac:dyDescent="0.2">
      <c r="A286" s="49" t="s">
        <v>1350</v>
      </c>
      <c r="B286" s="57" t="s">
        <v>1351</v>
      </c>
    </row>
    <row r="287" spans="1:2" ht="17" x14ac:dyDescent="0.2">
      <c r="A287" s="49" t="s">
        <v>1352</v>
      </c>
      <c r="B287" s="57" t="s">
        <v>1353</v>
      </c>
    </row>
    <row r="288" spans="1:2" ht="17" x14ac:dyDescent="0.2">
      <c r="A288" s="49" t="s">
        <v>704</v>
      </c>
      <c r="B288" s="57" t="s">
        <v>1354</v>
      </c>
    </row>
    <row r="289" spans="1:2" ht="17" x14ac:dyDescent="0.2">
      <c r="A289" s="49" t="s">
        <v>711</v>
      </c>
      <c r="B289" s="57" t="s">
        <v>1355</v>
      </c>
    </row>
    <row r="290" spans="1:2" ht="17" x14ac:dyDescent="0.2">
      <c r="A290" s="49" t="s">
        <v>1356</v>
      </c>
      <c r="B290" s="57" t="s">
        <v>1357</v>
      </c>
    </row>
    <row r="291" spans="1:2" ht="17" x14ac:dyDescent="0.2">
      <c r="A291" s="49" t="s">
        <v>1358</v>
      </c>
      <c r="B291" s="57" t="s">
        <v>1359</v>
      </c>
    </row>
    <row r="292" spans="1:2" ht="17" x14ac:dyDescent="0.2">
      <c r="A292" s="49" t="s">
        <v>1360</v>
      </c>
      <c r="B292" s="57" t="s">
        <v>1361</v>
      </c>
    </row>
    <row r="293" spans="1:2" ht="17" x14ac:dyDescent="0.2">
      <c r="A293" s="49" t="s">
        <v>1362</v>
      </c>
      <c r="B293" s="57" t="s">
        <v>1363</v>
      </c>
    </row>
    <row r="294" spans="1:2" ht="17" x14ac:dyDescent="0.2">
      <c r="A294" s="49" t="s">
        <v>708</v>
      </c>
      <c r="B294" s="57" t="s">
        <v>1364</v>
      </c>
    </row>
    <row r="295" spans="1:2" ht="17" x14ac:dyDescent="0.2">
      <c r="A295" s="49" t="s">
        <v>709</v>
      </c>
      <c r="B295" s="57" t="s">
        <v>1365</v>
      </c>
    </row>
    <row r="296" spans="1:2" ht="17" x14ac:dyDescent="0.2">
      <c r="A296" s="49" t="s">
        <v>1366</v>
      </c>
      <c r="B296" s="57" t="s">
        <v>1367</v>
      </c>
    </row>
    <row r="297" spans="1:2" ht="17" x14ac:dyDescent="0.2">
      <c r="A297" s="49" t="s">
        <v>761</v>
      </c>
      <c r="B297" s="57" t="s">
        <v>1368</v>
      </c>
    </row>
    <row r="298" spans="1:2" ht="17" x14ac:dyDescent="0.2">
      <c r="A298" s="49" t="s">
        <v>712</v>
      </c>
      <c r="B298" s="57" t="s">
        <v>1369</v>
      </c>
    </row>
    <row r="299" spans="1:2" ht="17" x14ac:dyDescent="0.2">
      <c r="A299" s="49" t="s">
        <v>1370</v>
      </c>
      <c r="B299" s="57" t="s">
        <v>1371</v>
      </c>
    </row>
    <row r="300" spans="1:2" ht="17" x14ac:dyDescent="0.2">
      <c r="A300" s="49" t="s">
        <v>1372</v>
      </c>
      <c r="B300" s="57" t="s">
        <v>1373</v>
      </c>
    </row>
    <row r="301" spans="1:2" ht="17" x14ac:dyDescent="0.2">
      <c r="A301" s="49" t="s">
        <v>737</v>
      </c>
      <c r="B301" s="57" t="s">
        <v>1374</v>
      </c>
    </row>
    <row r="302" spans="1:2" ht="17" x14ac:dyDescent="0.2">
      <c r="A302" s="49" t="s">
        <v>1375</v>
      </c>
      <c r="B302" s="57" t="s">
        <v>1376</v>
      </c>
    </row>
    <row r="303" spans="1:2" ht="17" x14ac:dyDescent="0.2">
      <c r="A303" s="49" t="s">
        <v>1377</v>
      </c>
      <c r="B303" s="57" t="s">
        <v>1378</v>
      </c>
    </row>
    <row r="304" spans="1:2" ht="17" x14ac:dyDescent="0.2">
      <c r="A304" s="49" t="s">
        <v>1379</v>
      </c>
      <c r="B304" s="57" t="s">
        <v>1380</v>
      </c>
    </row>
    <row r="305" spans="1:2" ht="17" x14ac:dyDescent="0.2">
      <c r="A305" s="49" t="s">
        <v>1381</v>
      </c>
      <c r="B305" s="57" t="s">
        <v>1382</v>
      </c>
    </row>
    <row r="306" spans="1:2" ht="17" x14ac:dyDescent="0.2">
      <c r="A306" s="49" t="s">
        <v>1383</v>
      </c>
      <c r="B306" s="57" t="s">
        <v>1384</v>
      </c>
    </row>
    <row r="307" spans="1:2" ht="17" x14ac:dyDescent="0.2">
      <c r="A307" s="49" t="s">
        <v>1385</v>
      </c>
      <c r="B307" s="57" t="s">
        <v>1386</v>
      </c>
    </row>
    <row r="308" spans="1:2" ht="17" x14ac:dyDescent="0.2">
      <c r="A308" s="49" t="s">
        <v>1387</v>
      </c>
      <c r="B308" s="57" t="s">
        <v>1388</v>
      </c>
    </row>
    <row r="309" spans="1:2" ht="17" x14ac:dyDescent="0.2">
      <c r="A309" s="49" t="s">
        <v>727</v>
      </c>
      <c r="B309" s="57" t="s">
        <v>1389</v>
      </c>
    </row>
    <row r="310" spans="1:2" ht="17" x14ac:dyDescent="0.2">
      <c r="A310" s="49" t="s">
        <v>699</v>
      </c>
      <c r="B310" s="57" t="s">
        <v>1390</v>
      </c>
    </row>
    <row r="311" spans="1:2" ht="17" x14ac:dyDescent="0.2">
      <c r="A311" s="49" t="s">
        <v>1391</v>
      </c>
      <c r="B311" s="57" t="s">
        <v>1392</v>
      </c>
    </row>
    <row r="312" spans="1:2" ht="17" x14ac:dyDescent="0.2">
      <c r="A312" s="49" t="s">
        <v>1393</v>
      </c>
      <c r="B312" s="57" t="s">
        <v>1394</v>
      </c>
    </row>
    <row r="313" spans="1:2" ht="17" x14ac:dyDescent="0.2">
      <c r="A313" s="49" t="s">
        <v>1395</v>
      </c>
      <c r="B313" s="57" t="s">
        <v>1396</v>
      </c>
    </row>
    <row r="314" spans="1:2" ht="17" x14ac:dyDescent="0.2">
      <c r="A314" s="49" t="s">
        <v>1397</v>
      </c>
      <c r="B314" s="57" t="s">
        <v>1398</v>
      </c>
    </row>
    <row r="315" spans="1:2" ht="17" x14ac:dyDescent="0.2">
      <c r="A315" s="49" t="s">
        <v>1399</v>
      </c>
      <c r="B315" s="57" t="s">
        <v>1400</v>
      </c>
    </row>
    <row r="316" spans="1:2" ht="17" x14ac:dyDescent="0.2">
      <c r="A316" s="49" t="s">
        <v>1401</v>
      </c>
      <c r="B316" s="57" t="s">
        <v>1402</v>
      </c>
    </row>
    <row r="317" spans="1:2" ht="17" x14ac:dyDescent="0.2">
      <c r="A317" s="49" t="s">
        <v>728</v>
      </c>
      <c r="B317" s="57" t="s">
        <v>1403</v>
      </c>
    </row>
    <row r="318" spans="1:2" ht="17" x14ac:dyDescent="0.2">
      <c r="A318" s="49" t="s">
        <v>749</v>
      </c>
      <c r="B318" s="57" t="s">
        <v>1404</v>
      </c>
    </row>
    <row r="319" spans="1:2" ht="17" x14ac:dyDescent="0.2">
      <c r="A319" s="49" t="s">
        <v>1405</v>
      </c>
      <c r="B319" s="57" t="s">
        <v>1406</v>
      </c>
    </row>
    <row r="320" spans="1:2" ht="17" x14ac:dyDescent="0.2">
      <c r="A320" s="49" t="s">
        <v>1407</v>
      </c>
      <c r="B320" s="57" t="s">
        <v>1408</v>
      </c>
    </row>
    <row r="321" spans="1:2" ht="17" x14ac:dyDescent="0.2">
      <c r="A321" s="49" t="s">
        <v>742</v>
      </c>
      <c r="B321" s="57" t="s">
        <v>1409</v>
      </c>
    </row>
    <row r="322" spans="1:2" ht="17" x14ac:dyDescent="0.2">
      <c r="A322" s="49" t="s">
        <v>1410</v>
      </c>
      <c r="B322" s="57" t="s">
        <v>1411</v>
      </c>
    </row>
    <row r="323" spans="1:2" ht="17" x14ac:dyDescent="0.2">
      <c r="A323" s="49" t="s">
        <v>1412</v>
      </c>
      <c r="B323" s="57" t="s">
        <v>1413</v>
      </c>
    </row>
    <row r="324" spans="1:2" ht="17" x14ac:dyDescent="0.2">
      <c r="A324" s="49" t="s">
        <v>1414</v>
      </c>
      <c r="B324" s="57" t="s">
        <v>1415</v>
      </c>
    </row>
    <row r="325" spans="1:2" ht="17" x14ac:dyDescent="0.2">
      <c r="A325" s="49" t="s">
        <v>1416</v>
      </c>
      <c r="B325" s="57" t="s">
        <v>1417</v>
      </c>
    </row>
    <row r="326" spans="1:2" ht="17" x14ac:dyDescent="0.2">
      <c r="A326" s="49" t="s">
        <v>1418</v>
      </c>
      <c r="B326" s="57" t="s">
        <v>1419</v>
      </c>
    </row>
    <row r="327" spans="1:2" ht="17" x14ac:dyDescent="0.2">
      <c r="A327" s="49" t="s">
        <v>1420</v>
      </c>
      <c r="B327" s="58" t="s">
        <v>1421</v>
      </c>
    </row>
    <row r="328" spans="1:2" ht="17" x14ac:dyDescent="0.2">
      <c r="A328" s="49" t="s">
        <v>1422</v>
      </c>
      <c r="B328" s="58" t="s">
        <v>1423</v>
      </c>
    </row>
    <row r="329" spans="1:2" ht="17" x14ac:dyDescent="0.2">
      <c r="A329" s="49" t="s">
        <v>1424</v>
      </c>
      <c r="B329" s="58" t="s">
        <v>1425</v>
      </c>
    </row>
    <row r="330" spans="1:2" ht="17" x14ac:dyDescent="0.2">
      <c r="A330" s="49" t="s">
        <v>718</v>
      </c>
      <c r="B330" s="58" t="s">
        <v>1426</v>
      </c>
    </row>
    <row r="331" spans="1:2" ht="17" x14ac:dyDescent="0.2">
      <c r="A331" s="49" t="s">
        <v>1427</v>
      </c>
      <c r="B331" s="58" t="s">
        <v>1428</v>
      </c>
    </row>
    <row r="332" spans="1:2" ht="17" x14ac:dyDescent="0.2">
      <c r="A332" s="49" t="s">
        <v>1429</v>
      </c>
      <c r="B332" s="58" t="s">
        <v>1430</v>
      </c>
    </row>
    <row r="333" spans="1:2" ht="17" x14ac:dyDescent="0.2">
      <c r="A333" s="49" t="s">
        <v>1431</v>
      </c>
      <c r="B333" s="58" t="s">
        <v>1432</v>
      </c>
    </row>
    <row r="334" spans="1:2" ht="17" x14ac:dyDescent="0.2">
      <c r="A334" s="49" t="s">
        <v>746</v>
      </c>
      <c r="B334" s="58" t="s">
        <v>1433</v>
      </c>
    </row>
    <row r="335" spans="1:2" ht="17" x14ac:dyDescent="0.2">
      <c r="A335" s="49" t="s">
        <v>1434</v>
      </c>
      <c r="B335" s="58" t="s">
        <v>1435</v>
      </c>
    </row>
    <row r="336" spans="1:2" ht="17" x14ac:dyDescent="0.2">
      <c r="A336" s="49" t="s">
        <v>1436</v>
      </c>
      <c r="B336" s="58" t="s">
        <v>1437</v>
      </c>
    </row>
    <row r="337" spans="1:2" ht="17" x14ac:dyDescent="0.2">
      <c r="A337" s="49" t="s">
        <v>1438</v>
      </c>
      <c r="B337" s="58" t="s">
        <v>1439</v>
      </c>
    </row>
    <row r="338" spans="1:2" ht="17" x14ac:dyDescent="0.2">
      <c r="A338" s="49" t="s">
        <v>1440</v>
      </c>
      <c r="B338" s="58" t="s">
        <v>1441</v>
      </c>
    </row>
    <row r="339" spans="1:2" ht="17" x14ac:dyDescent="0.2">
      <c r="A339" s="49" t="s">
        <v>1442</v>
      </c>
      <c r="B339" s="58" t="s">
        <v>1443</v>
      </c>
    </row>
    <row r="340" spans="1:2" ht="17" x14ac:dyDescent="0.2">
      <c r="A340" s="49" t="s">
        <v>1444</v>
      </c>
      <c r="B340" s="58" t="s">
        <v>1445</v>
      </c>
    </row>
    <row r="341" spans="1:2" ht="17" x14ac:dyDescent="0.2">
      <c r="A341" s="49" t="s">
        <v>1446</v>
      </c>
      <c r="B341" s="58" t="s">
        <v>1447</v>
      </c>
    </row>
    <row r="342" spans="1:2" ht="17" x14ac:dyDescent="0.2">
      <c r="A342" s="49" t="s">
        <v>729</v>
      </c>
      <c r="B342" s="58" t="s">
        <v>1448</v>
      </c>
    </row>
    <row r="343" spans="1:2" ht="17" x14ac:dyDescent="0.2">
      <c r="A343" s="49" t="s">
        <v>1449</v>
      </c>
      <c r="B343" s="58" t="s">
        <v>1450</v>
      </c>
    </row>
    <row r="344" spans="1:2" ht="17" x14ac:dyDescent="0.2">
      <c r="A344" s="49" t="s">
        <v>1451</v>
      </c>
      <c r="B344" s="58" t="s">
        <v>1452</v>
      </c>
    </row>
    <row r="345" spans="1:2" ht="17" x14ac:dyDescent="0.2">
      <c r="A345" s="49" t="s">
        <v>754</v>
      </c>
      <c r="B345" s="58" t="s">
        <v>1453</v>
      </c>
    </row>
    <row r="346" spans="1:2" ht="17" x14ac:dyDescent="0.2">
      <c r="A346" s="49" t="s">
        <v>1454</v>
      </c>
      <c r="B346" s="58" t="s">
        <v>1455</v>
      </c>
    </row>
    <row r="347" spans="1:2" ht="17" x14ac:dyDescent="0.2">
      <c r="A347" s="49" t="s">
        <v>1456</v>
      </c>
      <c r="B347" s="58" t="s">
        <v>1457</v>
      </c>
    </row>
    <row r="348" spans="1:2" ht="17" x14ac:dyDescent="0.2">
      <c r="A348" s="49" t="s">
        <v>1458</v>
      </c>
      <c r="B348" s="58" t="s">
        <v>1459</v>
      </c>
    </row>
    <row r="349" spans="1:2" ht="17" x14ac:dyDescent="0.2">
      <c r="A349" s="49" t="s">
        <v>1460</v>
      </c>
      <c r="B349" s="58" t="s">
        <v>1461</v>
      </c>
    </row>
    <row r="350" spans="1:2" ht="17" x14ac:dyDescent="0.2">
      <c r="A350" s="49" t="s">
        <v>1462</v>
      </c>
      <c r="B350" s="58" t="s">
        <v>1463</v>
      </c>
    </row>
    <row r="351" spans="1:2" ht="17" x14ac:dyDescent="0.2">
      <c r="A351" s="49" t="s">
        <v>1464</v>
      </c>
      <c r="B351" s="58" t="s">
        <v>1465</v>
      </c>
    </row>
    <row r="352" spans="1:2" ht="17" x14ac:dyDescent="0.2">
      <c r="A352" s="49" t="s">
        <v>723</v>
      </c>
      <c r="B352" s="58" t="s">
        <v>1466</v>
      </c>
    </row>
    <row r="353" spans="1:2" ht="17" x14ac:dyDescent="0.2">
      <c r="A353" s="49" t="s">
        <v>1467</v>
      </c>
      <c r="B353" s="58" t="s">
        <v>1468</v>
      </c>
    </row>
    <row r="354" spans="1:2" ht="17" x14ac:dyDescent="0.2">
      <c r="A354" s="49" t="s">
        <v>1469</v>
      </c>
      <c r="B354" s="58" t="s">
        <v>1470</v>
      </c>
    </row>
    <row r="355" spans="1:2" ht="17" x14ac:dyDescent="0.2">
      <c r="A355" s="49" t="s">
        <v>1471</v>
      </c>
      <c r="B355" s="57" t="s">
        <v>1472</v>
      </c>
    </row>
    <row r="356" spans="1:2" ht="45" x14ac:dyDescent="0.2">
      <c r="A356" s="51" t="s">
        <v>703</v>
      </c>
      <c r="B356" s="58" t="s">
        <v>1473</v>
      </c>
    </row>
    <row r="357" spans="1:2" ht="150" x14ac:dyDescent="0.2">
      <c r="A357" s="51" t="s">
        <v>705</v>
      </c>
      <c r="B357" s="58" t="s">
        <v>1474</v>
      </c>
    </row>
    <row r="358" spans="1:2" ht="150" x14ac:dyDescent="0.2">
      <c r="A358" s="51" t="s">
        <v>716</v>
      </c>
      <c r="B358" s="58" t="s">
        <v>1475</v>
      </c>
    </row>
    <row r="359" spans="1:2" ht="34" x14ac:dyDescent="0.2">
      <c r="A359" s="49" t="s">
        <v>720</v>
      </c>
      <c r="B359" s="58" t="s">
        <v>1476</v>
      </c>
    </row>
    <row r="360" spans="1:2" ht="30" x14ac:dyDescent="0.2">
      <c r="A360" s="51" t="s">
        <v>724</v>
      </c>
      <c r="B360" s="58" t="s">
        <v>1477</v>
      </c>
    </row>
    <row r="361" spans="1:2" ht="34" x14ac:dyDescent="0.2">
      <c r="A361" s="49" t="s">
        <v>726</v>
      </c>
      <c r="B361" s="58" t="s">
        <v>1478</v>
      </c>
    </row>
    <row r="362" spans="1:2" ht="51" x14ac:dyDescent="0.2">
      <c r="A362" s="49" t="s">
        <v>732</v>
      </c>
      <c r="B362" s="58" t="s">
        <v>1479</v>
      </c>
    </row>
    <row r="363" spans="1:2" ht="34" x14ac:dyDescent="0.2">
      <c r="A363" s="49" t="s">
        <v>734</v>
      </c>
      <c r="B363" s="58" t="s">
        <v>1480</v>
      </c>
    </row>
    <row r="364" spans="1:2" ht="51" x14ac:dyDescent="0.2">
      <c r="A364" s="49" t="s">
        <v>738</v>
      </c>
      <c r="B364" s="58" t="s">
        <v>1481</v>
      </c>
    </row>
    <row r="365" spans="1:2" ht="90" x14ac:dyDescent="0.2">
      <c r="A365" s="51" t="s">
        <v>741</v>
      </c>
      <c r="B365" s="58" t="s">
        <v>1482</v>
      </c>
    </row>
    <row r="366" spans="1:2" ht="45" x14ac:dyDescent="0.2">
      <c r="A366" s="51" t="s">
        <v>743</v>
      </c>
      <c r="B366" s="58" t="s">
        <v>1483</v>
      </c>
    </row>
    <row r="367" spans="1:2" ht="34" x14ac:dyDescent="0.2">
      <c r="A367" s="49" t="s">
        <v>745</v>
      </c>
      <c r="B367" s="58" t="s">
        <v>1484</v>
      </c>
    </row>
    <row r="368" spans="1:2" ht="34" x14ac:dyDescent="0.2">
      <c r="A368" s="49" t="s">
        <v>747</v>
      </c>
      <c r="B368" s="58" t="s">
        <v>1485</v>
      </c>
    </row>
    <row r="369" spans="1:2" ht="45" x14ac:dyDescent="0.2">
      <c r="A369" s="51" t="s">
        <v>755</v>
      </c>
      <c r="B369" s="58" t="s">
        <v>1486</v>
      </c>
    </row>
    <row r="370" spans="1:2" ht="45" x14ac:dyDescent="0.2">
      <c r="A370" s="51" t="s">
        <v>756</v>
      </c>
      <c r="B370" s="58" t="s">
        <v>1487</v>
      </c>
    </row>
    <row r="371" spans="1:2" x14ac:dyDescent="0.2">
      <c r="A371" s="60" t="s">
        <v>1488</v>
      </c>
      <c r="B371" s="66" t="s">
        <v>1489</v>
      </c>
    </row>
    <row r="372" spans="1:2" x14ac:dyDescent="0.2">
      <c r="A372" s="60" t="s">
        <v>1490</v>
      </c>
      <c r="B372" s="66" t="s">
        <v>1491</v>
      </c>
    </row>
    <row r="373" spans="1:2" x14ac:dyDescent="0.2">
      <c r="A373" s="60" t="s">
        <v>1492</v>
      </c>
      <c r="B373" s="66" t="s">
        <v>1493</v>
      </c>
    </row>
    <row r="374" spans="1:2" x14ac:dyDescent="0.2">
      <c r="A374" s="60" t="s">
        <v>1494</v>
      </c>
      <c r="B374" s="66" t="s">
        <v>1495</v>
      </c>
    </row>
    <row r="375" spans="1:2" x14ac:dyDescent="0.2">
      <c r="A375" s="60" t="s">
        <v>1496</v>
      </c>
      <c r="B375" s="66" t="s">
        <v>1497</v>
      </c>
    </row>
    <row r="376" spans="1:2" x14ac:dyDescent="0.2">
      <c r="A376" s="60" t="s">
        <v>1498</v>
      </c>
      <c r="B376" s="66" t="s">
        <v>1499</v>
      </c>
    </row>
    <row r="377" spans="1:2" x14ac:dyDescent="0.2">
      <c r="A377" s="61" t="s">
        <v>1500</v>
      </c>
      <c r="B377" s="65" t="s">
        <v>1501</v>
      </c>
    </row>
    <row r="378" spans="1:2" x14ac:dyDescent="0.2">
      <c r="A378" s="60" t="s">
        <v>1502</v>
      </c>
      <c r="B378" s="66" t="s">
        <v>1503</v>
      </c>
    </row>
    <row r="379" spans="1:2" x14ac:dyDescent="0.2">
      <c r="A379" s="60" t="s">
        <v>1504</v>
      </c>
      <c r="B379" s="66" t="s">
        <v>1505</v>
      </c>
    </row>
    <row r="380" spans="1:2" x14ac:dyDescent="0.2">
      <c r="A380" s="60" t="s">
        <v>1506</v>
      </c>
      <c r="B380" s="66" t="s">
        <v>1507</v>
      </c>
    </row>
    <row r="381" spans="1:2" x14ac:dyDescent="0.2">
      <c r="A381" s="60" t="s">
        <v>1508</v>
      </c>
      <c r="B381" s="66" t="s">
        <v>1509</v>
      </c>
    </row>
    <row r="382" spans="1:2" x14ac:dyDescent="0.2">
      <c r="A382" s="60" t="s">
        <v>1510</v>
      </c>
      <c r="B382" s="66" t="s">
        <v>1511</v>
      </c>
    </row>
    <row r="383" spans="1:2" x14ac:dyDescent="0.2">
      <c r="A383" s="60" t="s">
        <v>1512</v>
      </c>
      <c r="B383" s="66" t="s">
        <v>1513</v>
      </c>
    </row>
    <row r="384" spans="1:2" x14ac:dyDescent="0.2">
      <c r="A384" s="60" t="s">
        <v>1514</v>
      </c>
      <c r="B384" s="66" t="s">
        <v>1515</v>
      </c>
    </row>
    <row r="385" spans="1:2" x14ac:dyDescent="0.2">
      <c r="A385" s="60" t="s">
        <v>1516</v>
      </c>
      <c r="B385" s="67" t="s">
        <v>1517</v>
      </c>
    </row>
    <row r="386" spans="1:2" x14ac:dyDescent="0.2">
      <c r="A386" s="60" t="s">
        <v>1518</v>
      </c>
      <c r="B386" s="66" t="s">
        <v>1515</v>
      </c>
    </row>
    <row r="387" spans="1:2" x14ac:dyDescent="0.2">
      <c r="A387" s="60" t="s">
        <v>1519</v>
      </c>
      <c r="B387" s="66" t="s">
        <v>1520</v>
      </c>
    </row>
    <row r="388" spans="1:2" x14ac:dyDescent="0.2">
      <c r="A388" s="60" t="s">
        <v>1521</v>
      </c>
      <c r="B388" s="66" t="s">
        <v>1522</v>
      </c>
    </row>
    <row r="389" spans="1:2" x14ac:dyDescent="0.2">
      <c r="A389" s="60" t="s">
        <v>1523</v>
      </c>
      <c r="B389" s="66" t="s">
        <v>1524</v>
      </c>
    </row>
    <row r="390" spans="1:2" x14ac:dyDescent="0.2">
      <c r="A390" s="60" t="s">
        <v>1525</v>
      </c>
      <c r="B390" s="66" t="s">
        <v>1526</v>
      </c>
    </row>
    <row r="391" spans="1:2" x14ac:dyDescent="0.2">
      <c r="A391" s="60" t="s">
        <v>863</v>
      </c>
      <c r="B391" s="66" t="s">
        <v>1527</v>
      </c>
    </row>
    <row r="392" spans="1:2" x14ac:dyDescent="0.2">
      <c r="A392" s="60" t="s">
        <v>1528</v>
      </c>
      <c r="B392" s="66" t="s">
        <v>1529</v>
      </c>
    </row>
    <row r="393" spans="1:2" x14ac:dyDescent="0.2">
      <c r="A393" s="60" t="s">
        <v>1530</v>
      </c>
      <c r="B393" s="66" t="s">
        <v>1531</v>
      </c>
    </row>
    <row r="394" spans="1:2" x14ac:dyDescent="0.2">
      <c r="A394" s="60" t="s">
        <v>1532</v>
      </c>
      <c r="B394" s="66" t="s">
        <v>1533</v>
      </c>
    </row>
    <row r="395" spans="1:2" x14ac:dyDescent="0.2">
      <c r="A395" s="60" t="s">
        <v>1534</v>
      </c>
      <c r="B395" s="66" t="s">
        <v>1535</v>
      </c>
    </row>
    <row r="396" spans="1:2" x14ac:dyDescent="0.2">
      <c r="A396" s="60" t="s">
        <v>1536</v>
      </c>
      <c r="B396" s="66" t="s">
        <v>1537</v>
      </c>
    </row>
    <row r="397" spans="1:2" x14ac:dyDescent="0.2">
      <c r="A397" s="60" t="s">
        <v>1538</v>
      </c>
      <c r="B397" s="66" t="s">
        <v>1539</v>
      </c>
    </row>
    <row r="398" spans="1:2" x14ac:dyDescent="0.2">
      <c r="A398" s="60" t="s">
        <v>1540</v>
      </c>
      <c r="B398" s="67" t="s">
        <v>1541</v>
      </c>
    </row>
    <row r="399" spans="1:2" x14ac:dyDescent="0.2">
      <c r="A399" s="60" t="s">
        <v>1542</v>
      </c>
      <c r="B399" s="66" t="s">
        <v>1543</v>
      </c>
    </row>
    <row r="400" spans="1:2" x14ac:dyDescent="0.2">
      <c r="A400" s="60" t="s">
        <v>1544</v>
      </c>
      <c r="B400" s="66" t="s">
        <v>1545</v>
      </c>
    </row>
    <row r="401" spans="1:2" x14ac:dyDescent="0.2">
      <c r="A401" s="60" t="s">
        <v>1546</v>
      </c>
      <c r="B401" s="66" t="s">
        <v>1547</v>
      </c>
    </row>
    <row r="402" spans="1:2" x14ac:dyDescent="0.2">
      <c r="A402" s="60" t="s">
        <v>1548</v>
      </c>
      <c r="B402" s="66" t="s">
        <v>1515</v>
      </c>
    </row>
    <row r="403" spans="1:2" x14ac:dyDescent="0.2">
      <c r="A403" s="60" t="s">
        <v>1549</v>
      </c>
      <c r="B403" s="67" t="s">
        <v>1550</v>
      </c>
    </row>
    <row r="404" spans="1:2" x14ac:dyDescent="0.2">
      <c r="A404" s="60" t="s">
        <v>1551</v>
      </c>
      <c r="B404" s="66" t="s">
        <v>1552</v>
      </c>
    </row>
    <row r="405" spans="1:2" x14ac:dyDescent="0.2">
      <c r="A405" s="61" t="s">
        <v>1553</v>
      </c>
      <c r="B405" s="65" t="s">
        <v>1554</v>
      </c>
    </row>
    <row r="406" spans="1:2" x14ac:dyDescent="0.2">
      <c r="A406" s="60" t="s">
        <v>1555</v>
      </c>
      <c r="B406" s="66" t="s">
        <v>1556</v>
      </c>
    </row>
    <row r="407" spans="1:2" x14ac:dyDescent="0.2">
      <c r="A407" s="60" t="s">
        <v>1557</v>
      </c>
      <c r="B407" s="66" t="s">
        <v>1558</v>
      </c>
    </row>
    <row r="408" spans="1:2" x14ac:dyDescent="0.2">
      <c r="A408" s="60" t="s">
        <v>1559</v>
      </c>
      <c r="B408" s="66" t="s">
        <v>1560</v>
      </c>
    </row>
    <row r="409" spans="1:2" x14ac:dyDescent="0.2">
      <c r="A409" s="60" t="s">
        <v>1561</v>
      </c>
      <c r="B409" s="66" t="s">
        <v>1562</v>
      </c>
    </row>
    <row r="410" spans="1:2" x14ac:dyDescent="0.2">
      <c r="A410" s="60" t="s">
        <v>1563</v>
      </c>
      <c r="B410" s="66" t="s">
        <v>1564</v>
      </c>
    </row>
    <row r="411" spans="1:2" x14ac:dyDescent="0.2">
      <c r="A411" s="60" t="s">
        <v>1565</v>
      </c>
      <c r="B411" s="66" t="s">
        <v>1566</v>
      </c>
    </row>
    <row r="412" spans="1:2" x14ac:dyDescent="0.2">
      <c r="A412" s="60" t="s">
        <v>1567</v>
      </c>
      <c r="B412" s="66" t="s">
        <v>1568</v>
      </c>
    </row>
    <row r="413" spans="1:2" x14ac:dyDescent="0.2">
      <c r="A413" s="60" t="s">
        <v>1569</v>
      </c>
      <c r="B413" s="66" t="s">
        <v>1570</v>
      </c>
    </row>
    <row r="414" spans="1:2" x14ac:dyDescent="0.2">
      <c r="A414" s="60" t="s">
        <v>1571</v>
      </c>
      <c r="B414" s="66" t="s">
        <v>1572</v>
      </c>
    </row>
    <row r="415" spans="1:2" x14ac:dyDescent="0.2">
      <c r="A415" s="60" t="s">
        <v>1573</v>
      </c>
      <c r="B415" s="66" t="s">
        <v>1574</v>
      </c>
    </row>
    <row r="416" spans="1:2" x14ac:dyDescent="0.2">
      <c r="A416" s="60" t="s">
        <v>1575</v>
      </c>
      <c r="B416" s="66" t="s">
        <v>1576</v>
      </c>
    </row>
    <row r="417" spans="1:2" x14ac:dyDescent="0.2">
      <c r="A417" s="60" t="s">
        <v>1577</v>
      </c>
      <c r="B417" s="66" t="s">
        <v>1578</v>
      </c>
    </row>
    <row r="418" spans="1:2" x14ac:dyDescent="0.2">
      <c r="A418" s="60" t="s">
        <v>1579</v>
      </c>
      <c r="B418" s="66" t="s">
        <v>1580</v>
      </c>
    </row>
    <row r="419" spans="1:2" x14ac:dyDescent="0.2">
      <c r="A419" s="60" t="s">
        <v>1581</v>
      </c>
      <c r="B419" s="66" t="s">
        <v>1582</v>
      </c>
    </row>
    <row r="420" spans="1:2" x14ac:dyDescent="0.2">
      <c r="A420" s="60" t="s">
        <v>1583</v>
      </c>
      <c r="B420" s="67" t="s">
        <v>1584</v>
      </c>
    </row>
    <row r="421" spans="1:2" x14ac:dyDescent="0.2">
      <c r="A421" s="60" t="s">
        <v>1585</v>
      </c>
      <c r="B421" s="66" t="s">
        <v>1586</v>
      </c>
    </row>
    <row r="422" spans="1:2" x14ac:dyDescent="0.2">
      <c r="A422" s="60" t="s">
        <v>1587</v>
      </c>
      <c r="B422" s="66" t="s">
        <v>1588</v>
      </c>
    </row>
    <row r="423" spans="1:2" x14ac:dyDescent="0.2">
      <c r="A423" s="60" t="s">
        <v>1589</v>
      </c>
      <c r="B423" s="66" t="s">
        <v>1515</v>
      </c>
    </row>
    <row r="424" spans="1:2" x14ac:dyDescent="0.2">
      <c r="A424" s="60" t="s">
        <v>1590</v>
      </c>
      <c r="B424" s="66" t="s">
        <v>1591</v>
      </c>
    </row>
    <row r="425" spans="1:2" x14ac:dyDescent="0.2">
      <c r="A425" s="60" t="s">
        <v>1592</v>
      </c>
      <c r="B425" s="66" t="s">
        <v>1593</v>
      </c>
    </row>
    <row r="426" spans="1:2" x14ac:dyDescent="0.2">
      <c r="A426" s="60" t="s">
        <v>1594</v>
      </c>
      <c r="B426" s="66" t="s">
        <v>1595</v>
      </c>
    </row>
    <row r="427" spans="1:2" x14ac:dyDescent="0.2">
      <c r="A427" s="60" t="s">
        <v>1596</v>
      </c>
      <c r="B427" s="66" t="s">
        <v>1597</v>
      </c>
    </row>
    <row r="428" spans="1:2" x14ac:dyDescent="0.2">
      <c r="A428" s="60" t="s">
        <v>1598</v>
      </c>
      <c r="B428" s="66" t="s">
        <v>1599</v>
      </c>
    </row>
    <row r="429" spans="1:2" x14ac:dyDescent="0.2">
      <c r="A429" s="60" t="s">
        <v>1600</v>
      </c>
      <c r="B429" s="67" t="s">
        <v>1601</v>
      </c>
    </row>
    <row r="430" spans="1:2" x14ac:dyDescent="0.2">
      <c r="A430" s="60" t="s">
        <v>1602</v>
      </c>
      <c r="B430" s="66" t="s">
        <v>1603</v>
      </c>
    </row>
    <row r="431" spans="1:2" x14ac:dyDescent="0.2">
      <c r="A431" s="60" t="s">
        <v>1604</v>
      </c>
      <c r="B431" s="66" t="s">
        <v>1605</v>
      </c>
    </row>
    <row r="432" spans="1:2" x14ac:dyDescent="0.2">
      <c r="A432" s="60" t="s">
        <v>1606</v>
      </c>
      <c r="B432" s="66" t="s">
        <v>1607</v>
      </c>
    </row>
    <row r="433" spans="1:2" x14ac:dyDescent="0.2">
      <c r="A433" s="60" t="s">
        <v>1608</v>
      </c>
      <c r="B433" s="66" t="s">
        <v>1609</v>
      </c>
    </row>
    <row r="434" spans="1:2" x14ac:dyDescent="0.2">
      <c r="A434" s="60" t="s">
        <v>1610</v>
      </c>
      <c r="B434" s="66" t="s">
        <v>1611</v>
      </c>
    </row>
    <row r="435" spans="1:2" x14ac:dyDescent="0.2">
      <c r="A435" s="60" t="s">
        <v>1612</v>
      </c>
      <c r="B435" s="66" t="s">
        <v>1613</v>
      </c>
    </row>
    <row r="436" spans="1:2" x14ac:dyDescent="0.2">
      <c r="A436" s="60" t="s">
        <v>1614</v>
      </c>
      <c r="B436" s="66" t="s">
        <v>1615</v>
      </c>
    </row>
    <row r="437" spans="1:2" x14ac:dyDescent="0.2">
      <c r="A437" s="60" t="s">
        <v>1616</v>
      </c>
      <c r="B437" s="66" t="s">
        <v>1617</v>
      </c>
    </row>
    <row r="438" spans="1:2" x14ac:dyDescent="0.2">
      <c r="A438" s="60" t="s">
        <v>1618</v>
      </c>
      <c r="B438" s="66" t="s">
        <v>1619</v>
      </c>
    </row>
    <row r="439" spans="1:2" x14ac:dyDescent="0.2">
      <c r="A439" s="60" t="s">
        <v>1620</v>
      </c>
      <c r="B439" s="66" t="s">
        <v>1621</v>
      </c>
    </row>
    <row r="440" spans="1:2" x14ac:dyDescent="0.2">
      <c r="A440" s="60" t="s">
        <v>1622</v>
      </c>
      <c r="B440" s="67" t="s">
        <v>1623</v>
      </c>
    </row>
    <row r="441" spans="1:2" x14ac:dyDescent="0.2">
      <c r="A441" s="60" t="s">
        <v>1624</v>
      </c>
      <c r="B441" s="66" t="s">
        <v>1625</v>
      </c>
    </row>
    <row r="442" spans="1:2" x14ac:dyDescent="0.2">
      <c r="A442" s="60" t="s">
        <v>1626</v>
      </c>
      <c r="B442" s="66" t="s">
        <v>1627</v>
      </c>
    </row>
    <row r="443" spans="1:2" x14ac:dyDescent="0.2">
      <c r="A443" s="60" t="s">
        <v>1628</v>
      </c>
      <c r="B443" s="66" t="s">
        <v>1629</v>
      </c>
    </row>
    <row r="444" spans="1:2" x14ac:dyDescent="0.2">
      <c r="A444" s="60" t="s">
        <v>1630</v>
      </c>
      <c r="B444" s="66" t="s">
        <v>1515</v>
      </c>
    </row>
    <row r="445" spans="1:2" x14ac:dyDescent="0.2">
      <c r="A445" s="60" t="s">
        <v>1631</v>
      </c>
      <c r="B445" s="66" t="s">
        <v>1632</v>
      </c>
    </row>
    <row r="446" spans="1:2" x14ac:dyDescent="0.2">
      <c r="A446" s="60" t="s">
        <v>1633</v>
      </c>
      <c r="B446" s="66" t="s">
        <v>1634</v>
      </c>
    </row>
    <row r="447" spans="1:2" x14ac:dyDescent="0.2">
      <c r="A447" s="60" t="s">
        <v>1635</v>
      </c>
      <c r="B447" s="66" t="s">
        <v>1636</v>
      </c>
    </row>
    <row r="448" spans="1:2" x14ac:dyDescent="0.2">
      <c r="A448" s="60" t="s">
        <v>1637</v>
      </c>
      <c r="B448" s="66" t="s">
        <v>1638</v>
      </c>
    </row>
    <row r="449" spans="1:2" x14ac:dyDescent="0.2">
      <c r="A449" s="60" t="s">
        <v>1639</v>
      </c>
      <c r="B449" s="67" t="s">
        <v>1640</v>
      </c>
    </row>
    <row r="450" spans="1:2" x14ac:dyDescent="0.2">
      <c r="A450" s="60" t="s">
        <v>1641</v>
      </c>
      <c r="B450" s="66" t="s">
        <v>1642</v>
      </c>
    </row>
    <row r="451" spans="1:2" x14ac:dyDescent="0.2">
      <c r="A451" s="60" t="s">
        <v>1643</v>
      </c>
      <c r="B451" s="66" t="s">
        <v>1644</v>
      </c>
    </row>
    <row r="452" spans="1:2" x14ac:dyDescent="0.2">
      <c r="A452" s="60" t="s">
        <v>1645</v>
      </c>
      <c r="B452" s="66" t="s">
        <v>1646</v>
      </c>
    </row>
    <row r="453" spans="1:2" x14ac:dyDescent="0.2">
      <c r="A453" s="60" t="s">
        <v>1647</v>
      </c>
      <c r="B453" s="67" t="s">
        <v>1648</v>
      </c>
    </row>
    <row r="454" spans="1:2" x14ac:dyDescent="0.2">
      <c r="A454" s="60" t="s">
        <v>1649</v>
      </c>
      <c r="B454" s="67" t="s">
        <v>1650</v>
      </c>
    </row>
    <row r="455" spans="1:2" x14ac:dyDescent="0.2">
      <c r="A455" s="60" t="s">
        <v>1651</v>
      </c>
      <c r="B455" s="66" t="s">
        <v>1652</v>
      </c>
    </row>
    <row r="456" spans="1:2" x14ac:dyDescent="0.2">
      <c r="A456" s="60" t="s">
        <v>1653</v>
      </c>
      <c r="B456" s="66" t="s">
        <v>1654</v>
      </c>
    </row>
    <row r="457" spans="1:2" x14ac:dyDescent="0.2">
      <c r="A457" s="60" t="s">
        <v>1655</v>
      </c>
      <c r="B457" s="66" t="s">
        <v>1656</v>
      </c>
    </row>
    <row r="458" spans="1:2" x14ac:dyDescent="0.2">
      <c r="A458" s="64" t="s">
        <v>837</v>
      </c>
      <c r="B458" s="63" t="s">
        <v>1657</v>
      </c>
    </row>
    <row r="459" spans="1:2" x14ac:dyDescent="0.2">
      <c r="A459" s="60" t="s">
        <v>1658</v>
      </c>
      <c r="B459" s="66" t="s">
        <v>1659</v>
      </c>
    </row>
    <row r="460" spans="1:2" x14ac:dyDescent="0.2">
      <c r="A460" s="60" t="s">
        <v>1660</v>
      </c>
      <c r="B460" s="66" t="s">
        <v>1661</v>
      </c>
    </row>
    <row r="461" spans="1:2" x14ac:dyDescent="0.2">
      <c r="A461" s="60" t="s">
        <v>1662</v>
      </c>
      <c r="B461" s="66" t="s">
        <v>1663</v>
      </c>
    </row>
    <row r="462" spans="1:2" x14ac:dyDescent="0.2">
      <c r="A462" s="60" t="s">
        <v>1664</v>
      </c>
      <c r="B462" s="66" t="s">
        <v>1665</v>
      </c>
    </row>
    <row r="463" spans="1:2" x14ac:dyDescent="0.2">
      <c r="A463" s="60" t="s">
        <v>1666</v>
      </c>
      <c r="B463" s="66" t="s">
        <v>1667</v>
      </c>
    </row>
    <row r="464" spans="1:2" x14ac:dyDescent="0.2">
      <c r="A464" s="60" t="s">
        <v>1668</v>
      </c>
      <c r="B464" s="66" t="s">
        <v>1669</v>
      </c>
    </row>
    <row r="465" spans="1:2" x14ac:dyDescent="0.2">
      <c r="A465" s="60" t="s">
        <v>1670</v>
      </c>
      <c r="B465" s="66" t="s">
        <v>1671</v>
      </c>
    </row>
    <row r="466" spans="1:2" x14ac:dyDescent="0.2">
      <c r="A466" s="60" t="s">
        <v>1672</v>
      </c>
      <c r="B466" s="66" t="s">
        <v>1673</v>
      </c>
    </row>
    <row r="467" spans="1:2" x14ac:dyDescent="0.2">
      <c r="A467" s="60" t="s">
        <v>1674</v>
      </c>
      <c r="B467" s="66" t="s">
        <v>1675</v>
      </c>
    </row>
    <row r="468" spans="1:2" x14ac:dyDescent="0.2">
      <c r="A468" s="60" t="s">
        <v>1676</v>
      </c>
      <c r="B468" s="66" t="s">
        <v>1677</v>
      </c>
    </row>
    <row r="469" spans="1:2" x14ac:dyDescent="0.2">
      <c r="A469" s="60" t="s">
        <v>1678</v>
      </c>
      <c r="B469" s="66" t="s">
        <v>1679</v>
      </c>
    </row>
    <row r="470" spans="1:2" x14ac:dyDescent="0.2">
      <c r="A470" s="60" t="s">
        <v>1680</v>
      </c>
      <c r="B470" s="66" t="s">
        <v>1681</v>
      </c>
    </row>
    <row r="471" spans="1:2" x14ac:dyDescent="0.2">
      <c r="A471" s="60" t="s">
        <v>1682</v>
      </c>
      <c r="B471" s="66" t="s">
        <v>1683</v>
      </c>
    </row>
    <row r="472" spans="1:2" x14ac:dyDescent="0.2">
      <c r="A472" s="60" t="s">
        <v>1684</v>
      </c>
      <c r="B472" s="66" t="s">
        <v>1685</v>
      </c>
    </row>
    <row r="473" spans="1:2" x14ac:dyDescent="0.2">
      <c r="A473" s="60" t="s">
        <v>1686</v>
      </c>
      <c r="B473" s="66" t="s">
        <v>1687</v>
      </c>
    </row>
    <row r="474" spans="1:2" x14ac:dyDescent="0.2">
      <c r="A474" s="60" t="s">
        <v>1688</v>
      </c>
      <c r="B474" s="67" t="s">
        <v>1689</v>
      </c>
    </row>
    <row r="475" spans="1:2" x14ac:dyDescent="0.2">
      <c r="A475" s="60" t="s">
        <v>1690</v>
      </c>
      <c r="B475" s="66" t="s">
        <v>1691</v>
      </c>
    </row>
    <row r="476" spans="1:2" x14ac:dyDescent="0.2">
      <c r="A476" s="60" t="s">
        <v>1692</v>
      </c>
      <c r="B476" s="66" t="s">
        <v>1693</v>
      </c>
    </row>
    <row r="477" spans="1:2" x14ac:dyDescent="0.2">
      <c r="A477" s="60" t="s">
        <v>1694</v>
      </c>
      <c r="B477" s="66" t="s">
        <v>1695</v>
      </c>
    </row>
    <row r="478" spans="1:2" x14ac:dyDescent="0.2">
      <c r="A478" s="60" t="s">
        <v>1696</v>
      </c>
      <c r="B478" s="66" t="s">
        <v>1697</v>
      </c>
    </row>
    <row r="479" spans="1:2" x14ac:dyDescent="0.2">
      <c r="A479" s="60" t="s">
        <v>1698</v>
      </c>
      <c r="B479" s="66" t="s">
        <v>1699</v>
      </c>
    </row>
    <row r="480" spans="1:2" x14ac:dyDescent="0.2">
      <c r="A480" s="60" t="s">
        <v>1700</v>
      </c>
      <c r="B480" s="66" t="s">
        <v>1701</v>
      </c>
    </row>
    <row r="481" spans="1:2" x14ac:dyDescent="0.2">
      <c r="A481" s="60" t="s">
        <v>1702</v>
      </c>
      <c r="B481" s="66" t="s">
        <v>1703</v>
      </c>
    </row>
    <row r="482" spans="1:2" x14ac:dyDescent="0.2">
      <c r="A482" s="60" t="s">
        <v>1704</v>
      </c>
      <c r="B482" s="66" t="s">
        <v>1705</v>
      </c>
    </row>
    <row r="483" spans="1:2" x14ac:dyDescent="0.2">
      <c r="A483" s="60" t="s">
        <v>1706</v>
      </c>
      <c r="B483" s="66" t="s">
        <v>1707</v>
      </c>
    </row>
    <row r="484" spans="1:2" x14ac:dyDescent="0.2">
      <c r="A484" s="60" t="s">
        <v>1708</v>
      </c>
      <c r="B484" s="66" t="s">
        <v>1709</v>
      </c>
    </row>
    <row r="485" spans="1:2" x14ac:dyDescent="0.2">
      <c r="A485" s="60" t="s">
        <v>1710</v>
      </c>
      <c r="B485" s="66" t="s">
        <v>1711</v>
      </c>
    </row>
    <row r="486" spans="1:2" x14ac:dyDescent="0.2">
      <c r="A486" s="60" t="s">
        <v>1712</v>
      </c>
      <c r="B486" s="66" t="s">
        <v>1713</v>
      </c>
    </row>
    <row r="487" spans="1:2" x14ac:dyDescent="0.2">
      <c r="A487" s="60" t="s">
        <v>1714</v>
      </c>
      <c r="B487" s="66" t="s">
        <v>1715</v>
      </c>
    </row>
    <row r="488" spans="1:2" x14ac:dyDescent="0.2">
      <c r="A488" s="60" t="s">
        <v>1716</v>
      </c>
      <c r="B488" s="66" t="s">
        <v>1717</v>
      </c>
    </row>
    <row r="489" spans="1:2" x14ac:dyDescent="0.2">
      <c r="A489" s="60" t="s">
        <v>1718</v>
      </c>
      <c r="B489" s="67" t="s">
        <v>1719</v>
      </c>
    </row>
    <row r="490" spans="1:2" x14ac:dyDescent="0.2">
      <c r="A490" s="60" t="s">
        <v>1720</v>
      </c>
      <c r="B490" s="66" t="s">
        <v>1721</v>
      </c>
    </row>
    <row r="491" spans="1:2" x14ac:dyDescent="0.2">
      <c r="A491" s="60" t="s">
        <v>1722</v>
      </c>
      <c r="B491" s="66" t="s">
        <v>1723</v>
      </c>
    </row>
    <row r="492" spans="1:2" x14ac:dyDescent="0.2">
      <c r="A492" s="60" t="s">
        <v>1724</v>
      </c>
      <c r="B492" s="66" t="s">
        <v>1725</v>
      </c>
    </row>
    <row r="493" spans="1:2" x14ac:dyDescent="0.2">
      <c r="A493" s="60" t="s">
        <v>1726</v>
      </c>
      <c r="B493" s="66" t="s">
        <v>1727</v>
      </c>
    </row>
    <row r="494" spans="1:2" x14ac:dyDescent="0.2">
      <c r="A494" s="60" t="s">
        <v>1728</v>
      </c>
      <c r="B494" s="66" t="s">
        <v>1729</v>
      </c>
    </row>
    <row r="495" spans="1:2" x14ac:dyDescent="0.2">
      <c r="A495" s="60" t="s">
        <v>1730</v>
      </c>
      <c r="B495" s="66" t="s">
        <v>1515</v>
      </c>
    </row>
    <row r="496" spans="1:2" x14ac:dyDescent="0.2">
      <c r="A496" s="60" t="s">
        <v>1731</v>
      </c>
      <c r="B496" s="66" t="s">
        <v>1732</v>
      </c>
    </row>
    <row r="497" spans="1:2" x14ac:dyDescent="0.2">
      <c r="A497" s="60" t="s">
        <v>1733</v>
      </c>
      <c r="B497" s="66" t="s">
        <v>1734</v>
      </c>
    </row>
    <row r="498" spans="1:2" x14ac:dyDescent="0.2">
      <c r="A498" s="60" t="s">
        <v>1735</v>
      </c>
      <c r="B498" s="66" t="s">
        <v>1736</v>
      </c>
    </row>
    <row r="499" spans="1:2" x14ac:dyDescent="0.2">
      <c r="A499" s="60" t="s">
        <v>1737</v>
      </c>
      <c r="B499" s="66" t="s">
        <v>1738</v>
      </c>
    </row>
    <row r="500" spans="1:2" x14ac:dyDescent="0.2">
      <c r="A500" s="60" t="s">
        <v>1739</v>
      </c>
      <c r="B500" s="66" t="s">
        <v>1740</v>
      </c>
    </row>
    <row r="501" spans="1:2" x14ac:dyDescent="0.2">
      <c r="A501" s="60" t="s">
        <v>1741</v>
      </c>
      <c r="B501" s="66" t="s">
        <v>1742</v>
      </c>
    </row>
    <row r="502" spans="1:2" x14ac:dyDescent="0.2">
      <c r="A502" s="60" t="s">
        <v>1743</v>
      </c>
      <c r="B502" s="66" t="s">
        <v>1744</v>
      </c>
    </row>
    <row r="503" spans="1:2" x14ac:dyDescent="0.2">
      <c r="A503" s="60" t="s">
        <v>1745</v>
      </c>
      <c r="B503" s="66" t="s">
        <v>1746</v>
      </c>
    </row>
    <row r="504" spans="1:2" x14ac:dyDescent="0.2">
      <c r="A504" s="60" t="s">
        <v>1747</v>
      </c>
      <c r="B504" s="66" t="s">
        <v>1748</v>
      </c>
    </row>
    <row r="505" spans="1:2" x14ac:dyDescent="0.2">
      <c r="A505" s="60" t="s">
        <v>1749</v>
      </c>
      <c r="B505" s="66" t="s">
        <v>1750</v>
      </c>
    </row>
    <row r="506" spans="1:2" x14ac:dyDescent="0.2">
      <c r="A506" s="60" t="s">
        <v>1751</v>
      </c>
      <c r="B506" s="66" t="s">
        <v>1752</v>
      </c>
    </row>
    <row r="507" spans="1:2" x14ac:dyDescent="0.2">
      <c r="A507" s="60" t="s">
        <v>1753</v>
      </c>
      <c r="B507" s="66" t="s">
        <v>1754</v>
      </c>
    </row>
    <row r="508" spans="1:2" x14ac:dyDescent="0.2">
      <c r="A508" s="60" t="s">
        <v>1755</v>
      </c>
      <c r="B508" s="66" t="s">
        <v>1756</v>
      </c>
    </row>
    <row r="509" spans="1:2" x14ac:dyDescent="0.2">
      <c r="A509" s="60" t="s">
        <v>1757</v>
      </c>
      <c r="B509" s="66" t="s">
        <v>1758</v>
      </c>
    </row>
    <row r="510" spans="1:2" x14ac:dyDescent="0.2">
      <c r="A510" s="60" t="s">
        <v>1759</v>
      </c>
      <c r="B510" s="66" t="s">
        <v>1760</v>
      </c>
    </row>
    <row r="511" spans="1:2" x14ac:dyDescent="0.2">
      <c r="A511" s="60" t="s">
        <v>1761</v>
      </c>
      <c r="B511" s="66" t="s">
        <v>1515</v>
      </c>
    </row>
    <row r="512" spans="1:2" x14ac:dyDescent="0.2">
      <c r="A512" s="60" t="s">
        <v>1762</v>
      </c>
      <c r="B512" s="66" t="s">
        <v>1763</v>
      </c>
    </row>
    <row r="513" spans="1:2" x14ac:dyDescent="0.2">
      <c r="A513" s="60" t="s">
        <v>1764</v>
      </c>
      <c r="B513" s="66" t="s">
        <v>1515</v>
      </c>
    </row>
    <row r="514" spans="1:2" x14ac:dyDescent="0.2">
      <c r="A514" s="60" t="s">
        <v>1765</v>
      </c>
      <c r="B514" s="66" t="s">
        <v>1515</v>
      </c>
    </row>
    <row r="515" spans="1:2" x14ac:dyDescent="0.2">
      <c r="A515" s="60" t="s">
        <v>1766</v>
      </c>
      <c r="B515" s="66" t="s">
        <v>1767</v>
      </c>
    </row>
    <row r="516" spans="1:2" x14ac:dyDescent="0.2">
      <c r="A516" s="60" t="s">
        <v>1768</v>
      </c>
      <c r="B516" s="66" t="s">
        <v>1769</v>
      </c>
    </row>
    <row r="517" spans="1:2" x14ac:dyDescent="0.2">
      <c r="A517" s="60" t="s">
        <v>1770</v>
      </c>
      <c r="B517" s="66" t="s">
        <v>1771</v>
      </c>
    </row>
    <row r="518" spans="1:2" x14ac:dyDescent="0.2">
      <c r="A518" s="60" t="s">
        <v>1772</v>
      </c>
      <c r="B518" s="66" t="s">
        <v>1773</v>
      </c>
    </row>
    <row r="519" spans="1:2" x14ac:dyDescent="0.2">
      <c r="A519" s="60" t="s">
        <v>1774</v>
      </c>
      <c r="B519" s="66" t="s">
        <v>1775</v>
      </c>
    </row>
    <row r="520" spans="1:2" x14ac:dyDescent="0.2">
      <c r="A520" s="60" t="s">
        <v>1776</v>
      </c>
      <c r="B520" s="66" t="s">
        <v>1777</v>
      </c>
    </row>
    <row r="521" spans="1:2" x14ac:dyDescent="0.2">
      <c r="A521" s="60" t="s">
        <v>1778</v>
      </c>
      <c r="B521" s="66" t="s">
        <v>1779</v>
      </c>
    </row>
    <row r="522" spans="1:2" x14ac:dyDescent="0.2">
      <c r="A522" s="60" t="s">
        <v>1780</v>
      </c>
      <c r="B522" s="66" t="s">
        <v>1781</v>
      </c>
    </row>
    <row r="523" spans="1:2" x14ac:dyDescent="0.2">
      <c r="A523" s="60" t="s">
        <v>1782</v>
      </c>
      <c r="B523" s="66" t="s">
        <v>1783</v>
      </c>
    </row>
    <row r="524" spans="1:2" x14ac:dyDescent="0.2">
      <c r="A524" s="60" t="s">
        <v>1784</v>
      </c>
      <c r="B524" s="66" t="s">
        <v>1785</v>
      </c>
    </row>
    <row r="525" spans="1:2" x14ac:dyDescent="0.2">
      <c r="A525" s="60" t="s">
        <v>1786</v>
      </c>
      <c r="B525" s="66" t="s">
        <v>1787</v>
      </c>
    </row>
    <row r="526" spans="1:2" x14ac:dyDescent="0.2">
      <c r="A526" s="60" t="s">
        <v>1788</v>
      </c>
      <c r="B526" s="66" t="s">
        <v>1789</v>
      </c>
    </row>
    <row r="527" spans="1:2" x14ac:dyDescent="0.2">
      <c r="A527" s="60" t="s">
        <v>1790</v>
      </c>
      <c r="B527" s="66" t="s">
        <v>1791</v>
      </c>
    </row>
    <row r="528" spans="1:2" x14ac:dyDescent="0.2">
      <c r="A528" s="60" t="s">
        <v>1792</v>
      </c>
      <c r="B528" s="66" t="s">
        <v>1793</v>
      </c>
    </row>
    <row r="529" spans="1:2" x14ac:dyDescent="0.2">
      <c r="A529" s="60" t="s">
        <v>1794</v>
      </c>
      <c r="B529" s="66" t="s">
        <v>1515</v>
      </c>
    </row>
    <row r="530" spans="1:2" x14ac:dyDescent="0.2">
      <c r="A530" s="60" t="s">
        <v>1795</v>
      </c>
      <c r="B530" s="66" t="s">
        <v>1796</v>
      </c>
    </row>
    <row r="531" spans="1:2" x14ac:dyDescent="0.2">
      <c r="A531" s="60" t="s">
        <v>1797</v>
      </c>
      <c r="B531" s="67" t="s">
        <v>1798</v>
      </c>
    </row>
    <row r="532" spans="1:2" x14ac:dyDescent="0.2">
      <c r="A532" s="60" t="s">
        <v>1799</v>
      </c>
      <c r="B532" s="67" t="s">
        <v>1800</v>
      </c>
    </row>
    <row r="533" spans="1:2" x14ac:dyDescent="0.2">
      <c r="A533" s="60" t="s">
        <v>1801</v>
      </c>
      <c r="B533" s="66" t="s">
        <v>1802</v>
      </c>
    </row>
    <row r="534" spans="1:2" x14ac:dyDescent="0.2">
      <c r="A534" s="60" t="s">
        <v>1803</v>
      </c>
      <c r="B534" s="66" t="s">
        <v>1804</v>
      </c>
    </row>
    <row r="535" spans="1:2" x14ac:dyDescent="0.2">
      <c r="A535" s="60" t="s">
        <v>1805</v>
      </c>
      <c r="B535" s="66" t="s">
        <v>1806</v>
      </c>
    </row>
    <row r="536" spans="1:2" x14ac:dyDescent="0.2">
      <c r="A536" s="60" t="s">
        <v>1807</v>
      </c>
      <c r="B536" s="66" t="s">
        <v>1808</v>
      </c>
    </row>
    <row r="537" spans="1:2" x14ac:dyDescent="0.2">
      <c r="A537" s="60" t="s">
        <v>1809</v>
      </c>
      <c r="B537" s="66" t="s">
        <v>1515</v>
      </c>
    </row>
    <row r="538" spans="1:2" x14ac:dyDescent="0.2">
      <c r="A538" s="60" t="s">
        <v>1810</v>
      </c>
      <c r="B538" s="66" t="s">
        <v>1515</v>
      </c>
    </row>
    <row r="539" spans="1:2" x14ac:dyDescent="0.2">
      <c r="A539" s="60" t="s">
        <v>1811</v>
      </c>
      <c r="B539" s="66" t="s">
        <v>1812</v>
      </c>
    </row>
    <row r="540" spans="1:2" x14ac:dyDescent="0.2">
      <c r="A540" s="60" t="s">
        <v>1813</v>
      </c>
      <c r="B540" s="66" t="s">
        <v>1814</v>
      </c>
    </row>
    <row r="541" spans="1:2" x14ac:dyDescent="0.2">
      <c r="A541" s="60" t="s">
        <v>1815</v>
      </c>
      <c r="B541" s="66" t="s">
        <v>1816</v>
      </c>
    </row>
    <row r="542" spans="1:2" x14ac:dyDescent="0.2">
      <c r="A542" s="60" t="s">
        <v>1817</v>
      </c>
      <c r="B542" s="66" t="s">
        <v>1818</v>
      </c>
    </row>
    <row r="543" spans="1:2" x14ac:dyDescent="0.2">
      <c r="A543" s="60" t="s">
        <v>1819</v>
      </c>
      <c r="B543" s="66" t="s">
        <v>1820</v>
      </c>
    </row>
    <row r="544" spans="1:2" x14ac:dyDescent="0.2">
      <c r="A544" s="60" t="s">
        <v>1821</v>
      </c>
      <c r="B544" s="66" t="s">
        <v>1822</v>
      </c>
    </row>
    <row r="545" spans="1:2" x14ac:dyDescent="0.2">
      <c r="A545" s="60" t="s">
        <v>1823</v>
      </c>
      <c r="B545" s="66" t="s">
        <v>1824</v>
      </c>
    </row>
    <row r="546" spans="1:2" x14ac:dyDescent="0.2">
      <c r="A546" s="60" t="s">
        <v>1825</v>
      </c>
      <c r="B546" s="67" t="s">
        <v>1826</v>
      </c>
    </row>
    <row r="547" spans="1:2" x14ac:dyDescent="0.2">
      <c r="A547" s="60" t="s">
        <v>1827</v>
      </c>
      <c r="B547" s="66" t="s">
        <v>1828</v>
      </c>
    </row>
    <row r="548" spans="1:2" x14ac:dyDescent="0.2">
      <c r="A548" s="60" t="s">
        <v>1829</v>
      </c>
      <c r="B548" s="66" t="s">
        <v>1830</v>
      </c>
    </row>
    <row r="549" spans="1:2" x14ac:dyDescent="0.2">
      <c r="A549" s="60" t="s">
        <v>1831</v>
      </c>
      <c r="B549" s="66" t="s">
        <v>1832</v>
      </c>
    </row>
    <row r="550" spans="1:2" x14ac:dyDescent="0.2">
      <c r="A550" s="60" t="s">
        <v>1833</v>
      </c>
      <c r="B550" s="66" t="s">
        <v>1834</v>
      </c>
    </row>
    <row r="551" spans="1:2" x14ac:dyDescent="0.2">
      <c r="A551" s="60" t="s">
        <v>1835</v>
      </c>
      <c r="B551" s="67" t="s">
        <v>1836</v>
      </c>
    </row>
    <row r="552" spans="1:2" x14ac:dyDescent="0.2">
      <c r="A552" s="60" t="s">
        <v>1837</v>
      </c>
      <c r="B552" s="66" t="s">
        <v>1838</v>
      </c>
    </row>
    <row r="553" spans="1:2" x14ac:dyDescent="0.2">
      <c r="A553" s="60" t="s">
        <v>1839</v>
      </c>
      <c r="B553" s="66" t="s">
        <v>1840</v>
      </c>
    </row>
    <row r="554" spans="1:2" x14ac:dyDescent="0.2">
      <c r="A554" s="60" t="s">
        <v>1841</v>
      </c>
      <c r="B554" s="67" t="s">
        <v>1842</v>
      </c>
    </row>
    <row r="555" spans="1:2" x14ac:dyDescent="0.2">
      <c r="A555" s="60" t="s">
        <v>1843</v>
      </c>
      <c r="B555" s="66" t="s">
        <v>1844</v>
      </c>
    </row>
    <row r="556" spans="1:2" x14ac:dyDescent="0.2">
      <c r="A556" s="60" t="s">
        <v>1845</v>
      </c>
      <c r="B556" s="66" t="s">
        <v>1846</v>
      </c>
    </row>
    <row r="557" spans="1:2" x14ac:dyDescent="0.2">
      <c r="A557" s="60" t="s">
        <v>1847</v>
      </c>
      <c r="B557" s="66" t="s">
        <v>1848</v>
      </c>
    </row>
    <row r="558" spans="1:2" x14ac:dyDescent="0.2">
      <c r="A558" s="60" t="s">
        <v>1849</v>
      </c>
      <c r="B558" s="66" t="s">
        <v>1850</v>
      </c>
    </row>
    <row r="559" spans="1:2" x14ac:dyDescent="0.2">
      <c r="A559" s="60" t="s">
        <v>1851</v>
      </c>
      <c r="B559" s="66" t="s">
        <v>1852</v>
      </c>
    </row>
    <row r="560" spans="1:2" x14ac:dyDescent="0.2">
      <c r="A560" s="60" t="s">
        <v>1853</v>
      </c>
      <c r="B560" s="66" t="s">
        <v>1854</v>
      </c>
    </row>
    <row r="561" spans="1:2" x14ac:dyDescent="0.2">
      <c r="A561" s="60" t="s">
        <v>1855</v>
      </c>
      <c r="B561" s="66" t="s">
        <v>1856</v>
      </c>
    </row>
    <row r="562" spans="1:2" x14ac:dyDescent="0.2">
      <c r="A562" s="60" t="s">
        <v>1857</v>
      </c>
      <c r="B562" s="66" t="s">
        <v>1515</v>
      </c>
    </row>
    <row r="563" spans="1:2" x14ac:dyDescent="0.2">
      <c r="A563" s="60" t="s">
        <v>1858</v>
      </c>
      <c r="B563" s="66" t="s">
        <v>1859</v>
      </c>
    </row>
    <row r="564" spans="1:2" x14ac:dyDescent="0.2">
      <c r="A564" s="60" t="s">
        <v>1860</v>
      </c>
      <c r="B564" s="66" t="s">
        <v>1861</v>
      </c>
    </row>
    <row r="565" spans="1:2" x14ac:dyDescent="0.2">
      <c r="A565" s="60" t="s">
        <v>1862</v>
      </c>
      <c r="B565" s="67" t="s">
        <v>1863</v>
      </c>
    </row>
    <row r="566" spans="1:2" x14ac:dyDescent="0.2">
      <c r="A566" s="60" t="s">
        <v>1864</v>
      </c>
      <c r="B566" s="66" t="s">
        <v>1865</v>
      </c>
    </row>
    <row r="567" spans="1:2" x14ac:dyDescent="0.2">
      <c r="A567" s="60" t="s">
        <v>1866</v>
      </c>
      <c r="B567" s="66" t="s">
        <v>1515</v>
      </c>
    </row>
    <row r="568" spans="1:2" x14ac:dyDescent="0.2">
      <c r="A568" s="60" t="s">
        <v>1867</v>
      </c>
      <c r="B568" s="66" t="s">
        <v>1868</v>
      </c>
    </row>
    <row r="569" spans="1:2" x14ac:dyDescent="0.2">
      <c r="A569" s="60" t="s">
        <v>1869</v>
      </c>
      <c r="B569" s="66" t="s">
        <v>1870</v>
      </c>
    </row>
    <row r="570" spans="1:2" x14ac:dyDescent="0.2">
      <c r="A570" s="60" t="s">
        <v>1871</v>
      </c>
      <c r="B570" s="66" t="s">
        <v>1872</v>
      </c>
    </row>
    <row r="571" spans="1:2" x14ac:dyDescent="0.2">
      <c r="A571" s="60" t="s">
        <v>1873</v>
      </c>
      <c r="B571" s="66" t="s">
        <v>1874</v>
      </c>
    </row>
    <row r="572" spans="1:2" x14ac:dyDescent="0.2">
      <c r="A572" s="60" t="s">
        <v>1875</v>
      </c>
      <c r="B572" s="66" t="s">
        <v>1876</v>
      </c>
    </row>
    <row r="573" spans="1:2" x14ac:dyDescent="0.2">
      <c r="A573" s="60" t="s">
        <v>1877</v>
      </c>
      <c r="B573" s="67" t="s">
        <v>1878</v>
      </c>
    </row>
    <row r="574" spans="1:2" x14ac:dyDescent="0.2">
      <c r="A574" s="60" t="s">
        <v>1879</v>
      </c>
      <c r="B574" s="67" t="s">
        <v>1880</v>
      </c>
    </row>
    <row r="575" spans="1:2" x14ac:dyDescent="0.2">
      <c r="A575" s="60" t="s">
        <v>1881</v>
      </c>
      <c r="B575" s="67" t="s">
        <v>1882</v>
      </c>
    </row>
    <row r="576" spans="1:2" x14ac:dyDescent="0.2">
      <c r="A576" s="60" t="s">
        <v>1883</v>
      </c>
      <c r="B576" s="66" t="s">
        <v>1884</v>
      </c>
    </row>
    <row r="577" spans="1:2" x14ac:dyDescent="0.2">
      <c r="A577" s="60" t="s">
        <v>1885</v>
      </c>
      <c r="B577" s="66" t="s">
        <v>1886</v>
      </c>
    </row>
    <row r="578" spans="1:2" x14ac:dyDescent="0.2">
      <c r="A578" s="60" t="s">
        <v>1887</v>
      </c>
      <c r="B578" s="66" t="s">
        <v>1888</v>
      </c>
    </row>
    <row r="579" spans="1:2" x14ac:dyDescent="0.2">
      <c r="A579" s="60" t="s">
        <v>1889</v>
      </c>
      <c r="B579" s="66" t="s">
        <v>1890</v>
      </c>
    </row>
    <row r="580" spans="1:2" x14ac:dyDescent="0.2">
      <c r="A580" s="60" t="s">
        <v>1891</v>
      </c>
      <c r="B580" s="66" t="s">
        <v>1892</v>
      </c>
    </row>
    <row r="581" spans="1:2" x14ac:dyDescent="0.2">
      <c r="A581" s="60" t="s">
        <v>1893</v>
      </c>
      <c r="B581" s="66" t="s">
        <v>1894</v>
      </c>
    </row>
    <row r="582" spans="1:2" x14ac:dyDescent="0.2">
      <c r="A582" s="60" t="s">
        <v>1895</v>
      </c>
      <c r="B582" s="66" t="s">
        <v>1896</v>
      </c>
    </row>
    <row r="583" spans="1:2" x14ac:dyDescent="0.2">
      <c r="A583" s="60" t="s">
        <v>1897</v>
      </c>
      <c r="B583" s="66" t="s">
        <v>1898</v>
      </c>
    </row>
    <row r="584" spans="1:2" x14ac:dyDescent="0.2">
      <c r="A584" s="60" t="s">
        <v>1899</v>
      </c>
      <c r="B584" s="66" t="s">
        <v>1900</v>
      </c>
    </row>
    <row r="585" spans="1:2" x14ac:dyDescent="0.2">
      <c r="A585" s="60" t="s">
        <v>1901</v>
      </c>
      <c r="B585" s="66" t="s">
        <v>1902</v>
      </c>
    </row>
    <row r="586" spans="1:2" x14ac:dyDescent="0.2">
      <c r="A586" s="60" t="s">
        <v>1903</v>
      </c>
      <c r="B586" s="66" t="s">
        <v>1515</v>
      </c>
    </row>
    <row r="587" spans="1:2" x14ac:dyDescent="0.2">
      <c r="A587" s="60" t="s">
        <v>1904</v>
      </c>
      <c r="B587" s="66" t="s">
        <v>1905</v>
      </c>
    </row>
    <row r="588" spans="1:2" x14ac:dyDescent="0.2">
      <c r="A588" s="60" t="s">
        <v>1906</v>
      </c>
      <c r="B588" s="66" t="s">
        <v>1907</v>
      </c>
    </row>
    <row r="589" spans="1:2" x14ac:dyDescent="0.2">
      <c r="A589" s="60" t="s">
        <v>1908</v>
      </c>
      <c r="B589" s="66" t="s">
        <v>1909</v>
      </c>
    </row>
    <row r="590" spans="1:2" x14ac:dyDescent="0.2">
      <c r="A590" s="60" t="s">
        <v>1910</v>
      </c>
      <c r="B590" s="66" t="s">
        <v>1911</v>
      </c>
    </row>
    <row r="591" spans="1:2" x14ac:dyDescent="0.2">
      <c r="A591" s="60" t="s">
        <v>1912</v>
      </c>
      <c r="B591" s="66" t="s">
        <v>1913</v>
      </c>
    </row>
    <row r="592" spans="1:2" x14ac:dyDescent="0.2">
      <c r="A592" s="60" t="s">
        <v>1914</v>
      </c>
      <c r="B592" s="66" t="s">
        <v>1915</v>
      </c>
    </row>
    <row r="593" spans="1:2" x14ac:dyDescent="0.2">
      <c r="A593" s="60" t="s">
        <v>1916</v>
      </c>
      <c r="B593" s="66" t="s">
        <v>1917</v>
      </c>
    </row>
    <row r="594" spans="1:2" x14ac:dyDescent="0.2">
      <c r="A594" s="60" t="s">
        <v>1918</v>
      </c>
      <c r="B594" s="66" t="s">
        <v>1919</v>
      </c>
    </row>
    <row r="595" spans="1:2" x14ac:dyDescent="0.2">
      <c r="A595" s="60" t="s">
        <v>1920</v>
      </c>
      <c r="B595" s="66" t="s">
        <v>1921</v>
      </c>
    </row>
    <row r="596" spans="1:2" x14ac:dyDescent="0.2">
      <c r="A596" s="60" t="s">
        <v>1922</v>
      </c>
      <c r="B596" s="66" t="s">
        <v>1923</v>
      </c>
    </row>
    <row r="597" spans="1:2" x14ac:dyDescent="0.2">
      <c r="A597" s="60" t="s">
        <v>1924</v>
      </c>
      <c r="B597" s="66" t="s">
        <v>1925</v>
      </c>
    </row>
    <row r="598" spans="1:2" x14ac:dyDescent="0.2">
      <c r="A598" s="60" t="s">
        <v>1926</v>
      </c>
      <c r="B598" s="67" t="s">
        <v>1927</v>
      </c>
    </row>
    <row r="599" spans="1:2" x14ac:dyDescent="0.2">
      <c r="A599" s="60" t="s">
        <v>1928</v>
      </c>
      <c r="B599" s="66" t="s">
        <v>1929</v>
      </c>
    </row>
    <row r="600" spans="1:2" x14ac:dyDescent="0.2">
      <c r="A600" s="60" t="s">
        <v>1930</v>
      </c>
      <c r="B600" s="66" t="s">
        <v>1931</v>
      </c>
    </row>
    <row r="601" spans="1:2" x14ac:dyDescent="0.2">
      <c r="A601" s="60" t="s">
        <v>1932</v>
      </c>
      <c r="B601" s="66" t="s">
        <v>1933</v>
      </c>
    </row>
    <row r="602" spans="1:2" x14ac:dyDescent="0.2">
      <c r="A602" s="60" t="s">
        <v>1934</v>
      </c>
      <c r="B602" s="66" t="s">
        <v>1935</v>
      </c>
    </row>
    <row r="603" spans="1:2" x14ac:dyDescent="0.2">
      <c r="A603" s="60" t="s">
        <v>1936</v>
      </c>
      <c r="B603" s="66" t="s">
        <v>1937</v>
      </c>
    </row>
    <row r="604" spans="1:2" x14ac:dyDescent="0.2">
      <c r="A604" s="60" t="s">
        <v>1938</v>
      </c>
      <c r="B604" s="67" t="s">
        <v>1939</v>
      </c>
    </row>
    <row r="605" spans="1:2" x14ac:dyDescent="0.2">
      <c r="A605" s="60" t="s">
        <v>1940</v>
      </c>
      <c r="B605" s="66" t="s">
        <v>1941</v>
      </c>
    </row>
    <row r="606" spans="1:2" x14ac:dyDescent="0.2">
      <c r="A606" s="60" t="s">
        <v>1942</v>
      </c>
      <c r="B606" s="66" t="s">
        <v>1515</v>
      </c>
    </row>
    <row r="607" spans="1:2" x14ac:dyDescent="0.2">
      <c r="A607" s="60" t="s">
        <v>1943</v>
      </c>
      <c r="B607" s="66" t="s">
        <v>1944</v>
      </c>
    </row>
    <row r="608" spans="1:2" x14ac:dyDescent="0.2">
      <c r="A608" s="60" t="s">
        <v>1945</v>
      </c>
      <c r="B608" s="66" t="s">
        <v>1946</v>
      </c>
    </row>
    <row r="609" spans="1:2" x14ac:dyDescent="0.2">
      <c r="A609" s="60" t="s">
        <v>1947</v>
      </c>
      <c r="B609" s="66" t="s">
        <v>1948</v>
      </c>
    </row>
    <row r="610" spans="1:2" x14ac:dyDescent="0.2">
      <c r="A610" s="60" t="s">
        <v>1949</v>
      </c>
      <c r="B610" s="66" t="s">
        <v>1950</v>
      </c>
    </row>
    <row r="611" spans="1:2" x14ac:dyDescent="0.2">
      <c r="A611" s="60" t="s">
        <v>1951</v>
      </c>
      <c r="B611" s="66" t="s">
        <v>1952</v>
      </c>
    </row>
    <row r="612" spans="1:2" x14ac:dyDescent="0.2">
      <c r="A612" s="60" t="s">
        <v>1953</v>
      </c>
      <c r="B612" s="66" t="s">
        <v>1954</v>
      </c>
    </row>
    <row r="613" spans="1:2" x14ac:dyDescent="0.2">
      <c r="A613" s="60" t="s">
        <v>1955</v>
      </c>
      <c r="B613" s="66" t="s">
        <v>1956</v>
      </c>
    </row>
    <row r="614" spans="1:2" x14ac:dyDescent="0.2">
      <c r="A614" s="60" t="s">
        <v>1957</v>
      </c>
      <c r="B614" s="66" t="s">
        <v>1958</v>
      </c>
    </row>
    <row r="615" spans="1:2" x14ac:dyDescent="0.2">
      <c r="A615" s="60" t="s">
        <v>1959</v>
      </c>
      <c r="B615" s="66" t="s">
        <v>1960</v>
      </c>
    </row>
    <row r="616" spans="1:2" x14ac:dyDescent="0.2">
      <c r="A616" s="60" t="s">
        <v>1961</v>
      </c>
      <c r="B616" s="66" t="s">
        <v>1962</v>
      </c>
    </row>
    <row r="617" spans="1:2" x14ac:dyDescent="0.2">
      <c r="A617" s="60" t="s">
        <v>1963</v>
      </c>
      <c r="B617" s="66" t="s">
        <v>1964</v>
      </c>
    </row>
    <row r="618" spans="1:2" x14ac:dyDescent="0.2">
      <c r="A618" s="60" t="s">
        <v>1965</v>
      </c>
      <c r="B618" s="66" t="s">
        <v>1966</v>
      </c>
    </row>
    <row r="619" spans="1:2" x14ac:dyDescent="0.2">
      <c r="A619" s="60" t="s">
        <v>1967</v>
      </c>
      <c r="B619" s="66" t="s">
        <v>1968</v>
      </c>
    </row>
    <row r="620" spans="1:2" x14ac:dyDescent="0.2">
      <c r="A620" s="60" t="s">
        <v>1969</v>
      </c>
      <c r="B620" s="66" t="s">
        <v>1970</v>
      </c>
    </row>
    <row r="621" spans="1:2" x14ac:dyDescent="0.2">
      <c r="A621" s="60" t="s">
        <v>1971</v>
      </c>
      <c r="B621" s="66" t="s">
        <v>1972</v>
      </c>
    </row>
    <row r="622" spans="1:2" x14ac:dyDescent="0.2">
      <c r="A622" s="60" t="s">
        <v>1973</v>
      </c>
      <c r="B622" s="66" t="s">
        <v>1974</v>
      </c>
    </row>
    <row r="623" spans="1:2" x14ac:dyDescent="0.2">
      <c r="A623" s="60" t="s">
        <v>1975</v>
      </c>
      <c r="B623" s="66" t="s">
        <v>1976</v>
      </c>
    </row>
    <row r="624" spans="1:2" x14ac:dyDescent="0.2">
      <c r="A624" s="60" t="s">
        <v>1977</v>
      </c>
      <c r="B624" s="66" t="s">
        <v>1978</v>
      </c>
    </row>
    <row r="625" spans="1:2" x14ac:dyDescent="0.2">
      <c r="A625" s="60" t="s">
        <v>1979</v>
      </c>
      <c r="B625" s="66" t="s">
        <v>1980</v>
      </c>
    </row>
    <row r="626" spans="1:2" x14ac:dyDescent="0.2">
      <c r="A626" s="60" t="s">
        <v>1981</v>
      </c>
      <c r="B626" s="66" t="s">
        <v>2103</v>
      </c>
    </row>
    <row r="627" spans="1:2" x14ac:dyDescent="0.2">
      <c r="A627" s="60" t="s">
        <v>1982</v>
      </c>
      <c r="B627" s="66" t="s">
        <v>1983</v>
      </c>
    </row>
    <row r="628" spans="1:2" x14ac:dyDescent="0.2">
      <c r="A628" s="60" t="s">
        <v>1984</v>
      </c>
      <c r="B628" s="66" t="s">
        <v>1985</v>
      </c>
    </row>
    <row r="629" spans="1:2" x14ac:dyDescent="0.2">
      <c r="A629" s="60" t="s">
        <v>1986</v>
      </c>
      <c r="B629" s="66" t="s">
        <v>1987</v>
      </c>
    </row>
    <row r="630" spans="1:2" x14ac:dyDescent="0.2">
      <c r="A630" s="60" t="s">
        <v>1988</v>
      </c>
      <c r="B630" s="66" t="s">
        <v>1989</v>
      </c>
    </row>
    <row r="631" spans="1:2" ht="28" x14ac:dyDescent="0.2">
      <c r="A631" s="61" t="s">
        <v>1990</v>
      </c>
      <c r="B631" s="65" t="s">
        <v>1991</v>
      </c>
    </row>
    <row r="632" spans="1:2" ht="28" x14ac:dyDescent="0.2">
      <c r="A632" s="61" t="s">
        <v>1992</v>
      </c>
      <c r="B632" s="65" t="s">
        <v>1993</v>
      </c>
    </row>
    <row r="633" spans="1:2" ht="28" x14ac:dyDescent="0.2">
      <c r="A633" s="61" t="s">
        <v>1994</v>
      </c>
      <c r="B633" s="65" t="s">
        <v>1995</v>
      </c>
    </row>
    <row r="634" spans="1:2" ht="28" x14ac:dyDescent="0.2">
      <c r="A634" s="61" t="s">
        <v>1996</v>
      </c>
      <c r="B634" s="65" t="s">
        <v>1997</v>
      </c>
    </row>
    <row r="635" spans="1:2" ht="56" x14ac:dyDescent="0.2">
      <c r="A635" s="62" t="s">
        <v>822</v>
      </c>
      <c r="B635" s="63" t="s">
        <v>1998</v>
      </c>
    </row>
    <row r="636" spans="1:2" ht="56" x14ac:dyDescent="0.2">
      <c r="A636" s="64" t="s">
        <v>823</v>
      </c>
      <c r="B636" s="63" t="s">
        <v>1999</v>
      </c>
    </row>
    <row r="637" spans="1:2" ht="28" x14ac:dyDescent="0.2">
      <c r="A637" s="62" t="s">
        <v>829</v>
      </c>
      <c r="B637" s="63" t="s">
        <v>2000</v>
      </c>
    </row>
    <row r="638" spans="1:2" ht="42" x14ac:dyDescent="0.2">
      <c r="A638" s="64" t="s">
        <v>832</v>
      </c>
      <c r="B638" s="63" t="s">
        <v>2001</v>
      </c>
    </row>
    <row r="639" spans="1:2" x14ac:dyDescent="0.2">
      <c r="A639" s="64" t="s">
        <v>833</v>
      </c>
      <c r="B639" s="63" t="s">
        <v>2002</v>
      </c>
    </row>
    <row r="640" spans="1:2" x14ac:dyDescent="0.2">
      <c r="A640" s="64" t="s">
        <v>838</v>
      </c>
      <c r="B640" s="63" t="s">
        <v>2003</v>
      </c>
    </row>
    <row r="641" spans="1:2" ht="70" x14ac:dyDescent="0.2">
      <c r="A641" s="64" t="s">
        <v>841</v>
      </c>
      <c r="B641" s="63" t="s">
        <v>2004</v>
      </c>
    </row>
    <row r="642" spans="1:2" ht="70" x14ac:dyDescent="0.2">
      <c r="A642" s="64" t="s">
        <v>843</v>
      </c>
      <c r="B642" s="63" t="s">
        <v>2005</v>
      </c>
    </row>
    <row r="643" spans="1:2" ht="42" x14ac:dyDescent="0.2">
      <c r="A643" s="62" t="s">
        <v>844</v>
      </c>
      <c r="B643" s="63" t="s">
        <v>2006</v>
      </c>
    </row>
    <row r="644" spans="1:2" ht="28" x14ac:dyDescent="0.2">
      <c r="A644" s="62" t="s">
        <v>846</v>
      </c>
      <c r="B644" s="63" t="s">
        <v>2007</v>
      </c>
    </row>
    <row r="645" spans="1:2" ht="28" x14ac:dyDescent="0.2">
      <c r="A645" s="62" t="s">
        <v>847</v>
      </c>
      <c r="B645" s="63" t="s">
        <v>2008</v>
      </c>
    </row>
    <row r="646" spans="1:2" ht="28" x14ac:dyDescent="0.2">
      <c r="A646" s="62" t="s">
        <v>849</v>
      </c>
      <c r="B646" s="63" t="s">
        <v>2009</v>
      </c>
    </row>
    <row r="647" spans="1:2" x14ac:dyDescent="0.2">
      <c r="A647" s="62" t="s">
        <v>857</v>
      </c>
      <c r="B647" s="63" t="s">
        <v>2010</v>
      </c>
    </row>
    <row r="648" spans="1:2" ht="126" x14ac:dyDescent="0.2">
      <c r="A648" s="62" t="s">
        <v>852</v>
      </c>
      <c r="B648" s="63" t="s">
        <v>2011</v>
      </c>
    </row>
    <row r="649" spans="1:2" ht="28" x14ac:dyDescent="0.2">
      <c r="A649" s="62" t="s">
        <v>860</v>
      </c>
      <c r="B649" s="63" t="s">
        <v>2012</v>
      </c>
    </row>
    <row r="650" spans="1:2" ht="28" x14ac:dyDescent="0.2">
      <c r="A650" s="62" t="s">
        <v>861</v>
      </c>
      <c r="B650" s="63" t="s">
        <v>2013</v>
      </c>
    </row>
    <row r="651" spans="1:2" ht="42" x14ac:dyDescent="0.2">
      <c r="A651" s="62" t="s">
        <v>864</v>
      </c>
      <c r="B651" s="63" t="s">
        <v>2014</v>
      </c>
    </row>
    <row r="652" spans="1:2" ht="28" x14ac:dyDescent="0.2">
      <c r="A652" s="62" t="s">
        <v>865</v>
      </c>
      <c r="B652" s="63" t="s">
        <v>2015</v>
      </c>
    </row>
    <row r="653" spans="1:2" ht="42" x14ac:dyDescent="0.2">
      <c r="A653" s="62" t="s">
        <v>867</v>
      </c>
      <c r="B653" s="63" t="s">
        <v>2016</v>
      </c>
    </row>
    <row r="654" spans="1:2" ht="56" x14ac:dyDescent="0.2">
      <c r="A654" s="62" t="s">
        <v>2017</v>
      </c>
      <c r="B654" s="63" t="s">
        <v>2018</v>
      </c>
    </row>
    <row r="655" spans="1:2" ht="42" x14ac:dyDescent="0.2">
      <c r="A655" s="62" t="s">
        <v>870</v>
      </c>
      <c r="B655" s="63" t="s">
        <v>2019</v>
      </c>
    </row>
    <row r="656" spans="1:2" x14ac:dyDescent="0.2">
      <c r="A656" s="62" t="s">
        <v>868</v>
      </c>
      <c r="B656" s="63" t="s">
        <v>2020</v>
      </c>
    </row>
    <row r="657" spans="1:2" ht="42" x14ac:dyDescent="0.2">
      <c r="A657" s="62" t="s">
        <v>878</v>
      </c>
      <c r="B657" s="63" t="s">
        <v>2021</v>
      </c>
    </row>
    <row r="658" spans="1:2" ht="28" x14ac:dyDescent="0.2">
      <c r="A658" s="62" t="s">
        <v>598</v>
      </c>
      <c r="B658" s="63" t="s">
        <v>2022</v>
      </c>
    </row>
    <row r="659" spans="1:2" ht="28" x14ac:dyDescent="0.2">
      <c r="A659" s="62" t="s">
        <v>599</v>
      </c>
      <c r="B659" s="63" t="s">
        <v>2023</v>
      </c>
    </row>
    <row r="660" spans="1:2" x14ac:dyDescent="0.2">
      <c r="A660" s="113" t="s">
        <v>2146</v>
      </c>
      <c r="B660" s="63" t="s">
        <v>2147</v>
      </c>
    </row>
    <row r="661" spans="1:2" x14ac:dyDescent="0.2">
      <c r="A661" s="113">
        <v>1.1000000000000001</v>
      </c>
      <c r="B661" s="63" t="s">
        <v>2148</v>
      </c>
    </row>
    <row r="662" spans="1:2" x14ac:dyDescent="0.2">
      <c r="A662" s="113" t="s">
        <v>2149</v>
      </c>
      <c r="B662" s="63" t="s">
        <v>2150</v>
      </c>
    </row>
    <row r="663" spans="1:2" x14ac:dyDescent="0.2">
      <c r="A663" s="113" t="s">
        <v>2151</v>
      </c>
      <c r="B663" s="63" t="s">
        <v>2152</v>
      </c>
    </row>
    <row r="664" spans="1:2" x14ac:dyDescent="0.2">
      <c r="A664" s="113" t="s">
        <v>2153</v>
      </c>
      <c r="B664" s="63" t="s">
        <v>2154</v>
      </c>
    </row>
    <row r="665" spans="1:2" x14ac:dyDescent="0.2">
      <c r="A665" s="113" t="s">
        <v>2155</v>
      </c>
      <c r="B665" s="63" t="s">
        <v>2156</v>
      </c>
    </row>
    <row r="666" spans="1:2" x14ac:dyDescent="0.2">
      <c r="A666" s="113" t="s">
        <v>2157</v>
      </c>
      <c r="B666" s="63" t="s">
        <v>2158</v>
      </c>
    </row>
    <row r="667" spans="1:2" x14ac:dyDescent="0.2">
      <c r="A667" s="113" t="s">
        <v>2159</v>
      </c>
      <c r="B667" s="63" t="s">
        <v>2160</v>
      </c>
    </row>
    <row r="668" spans="1:2" x14ac:dyDescent="0.2">
      <c r="A668" s="113" t="s">
        <v>2161</v>
      </c>
      <c r="B668" s="63" t="s">
        <v>2162</v>
      </c>
    </row>
    <row r="669" spans="1:2" x14ac:dyDescent="0.2">
      <c r="A669" s="113">
        <v>1.2</v>
      </c>
      <c r="B669" s="63" t="s">
        <v>2163</v>
      </c>
    </row>
    <row r="670" spans="1:2" x14ac:dyDescent="0.2">
      <c r="A670" s="113" t="s">
        <v>2164</v>
      </c>
      <c r="B670" s="63" t="s">
        <v>2165</v>
      </c>
    </row>
    <row r="671" spans="1:2" x14ac:dyDescent="0.2">
      <c r="A671" s="113" t="s">
        <v>2166</v>
      </c>
      <c r="B671" s="63" t="s">
        <v>2167</v>
      </c>
    </row>
    <row r="672" spans="1:2" x14ac:dyDescent="0.2">
      <c r="A672" s="113" t="s">
        <v>2168</v>
      </c>
      <c r="B672" s="63" t="s">
        <v>2169</v>
      </c>
    </row>
    <row r="673" spans="1:2" x14ac:dyDescent="0.2">
      <c r="A673" s="113">
        <v>1.3</v>
      </c>
      <c r="B673" s="63" t="s">
        <v>2170</v>
      </c>
    </row>
    <row r="674" spans="1:2" x14ac:dyDescent="0.2">
      <c r="A674" s="113" t="s">
        <v>2171</v>
      </c>
      <c r="B674" s="63" t="s">
        <v>2172</v>
      </c>
    </row>
    <row r="675" spans="1:2" x14ac:dyDescent="0.2">
      <c r="A675" s="113" t="s">
        <v>2173</v>
      </c>
      <c r="B675" s="63" t="s">
        <v>2174</v>
      </c>
    </row>
    <row r="676" spans="1:2" x14ac:dyDescent="0.2">
      <c r="A676" s="113" t="s">
        <v>2175</v>
      </c>
      <c r="B676" s="63" t="s">
        <v>2176</v>
      </c>
    </row>
    <row r="677" spans="1:2" x14ac:dyDescent="0.2">
      <c r="A677" s="113" t="s">
        <v>2177</v>
      </c>
      <c r="B677" s="63" t="s">
        <v>2178</v>
      </c>
    </row>
    <row r="678" spans="1:2" x14ac:dyDescent="0.2">
      <c r="A678" s="113" t="s">
        <v>2179</v>
      </c>
      <c r="B678" s="63" t="s">
        <v>2180</v>
      </c>
    </row>
    <row r="679" spans="1:2" x14ac:dyDescent="0.2">
      <c r="A679" s="113" t="s">
        <v>2181</v>
      </c>
      <c r="B679" s="63" t="s">
        <v>2182</v>
      </c>
    </row>
    <row r="680" spans="1:2" x14ac:dyDescent="0.2">
      <c r="A680" s="113" t="s">
        <v>2183</v>
      </c>
      <c r="B680" s="63" t="s">
        <v>2184</v>
      </c>
    </row>
    <row r="681" spans="1:2" x14ac:dyDescent="0.2">
      <c r="A681" s="113">
        <v>1.4</v>
      </c>
      <c r="B681" s="63" t="s">
        <v>2185</v>
      </c>
    </row>
    <row r="682" spans="1:2" x14ac:dyDescent="0.2">
      <c r="A682" s="113">
        <v>1.5</v>
      </c>
      <c r="B682" s="63" t="s">
        <v>2186</v>
      </c>
    </row>
    <row r="683" spans="1:2" x14ac:dyDescent="0.2">
      <c r="A683" s="113" t="s">
        <v>2187</v>
      </c>
      <c r="B683" s="63" t="s">
        <v>2188</v>
      </c>
    </row>
    <row r="684" spans="1:2" x14ac:dyDescent="0.2">
      <c r="A684" s="113">
        <v>2.1</v>
      </c>
      <c r="B684" s="63" t="s">
        <v>2189</v>
      </c>
    </row>
    <row r="685" spans="1:2" x14ac:dyDescent="0.2">
      <c r="A685" s="113" t="s">
        <v>2190</v>
      </c>
      <c r="B685" s="63" t="s">
        <v>2191</v>
      </c>
    </row>
    <row r="686" spans="1:2" x14ac:dyDescent="0.2">
      <c r="A686" s="113">
        <v>2.2000000000000002</v>
      </c>
      <c r="B686" s="63" t="s">
        <v>2192</v>
      </c>
    </row>
    <row r="687" spans="1:2" x14ac:dyDescent="0.2">
      <c r="A687" s="113" t="s">
        <v>2193</v>
      </c>
      <c r="B687" s="63" t="s">
        <v>2194</v>
      </c>
    </row>
    <row r="688" spans="1:2" x14ac:dyDescent="0.2">
      <c r="A688" s="113" t="s">
        <v>2195</v>
      </c>
      <c r="B688" s="63" t="s">
        <v>2196</v>
      </c>
    </row>
    <row r="689" spans="1:2" x14ac:dyDescent="0.2">
      <c r="A689" s="113" t="s">
        <v>2197</v>
      </c>
      <c r="B689" s="63" t="s">
        <v>2198</v>
      </c>
    </row>
    <row r="690" spans="1:2" x14ac:dyDescent="0.2">
      <c r="A690" s="113" t="s">
        <v>2199</v>
      </c>
      <c r="B690" s="63" t="s">
        <v>2200</v>
      </c>
    </row>
    <row r="691" spans="1:2" x14ac:dyDescent="0.2">
      <c r="A691" s="113" t="s">
        <v>2201</v>
      </c>
      <c r="B691" s="63" t="s">
        <v>2202</v>
      </c>
    </row>
    <row r="692" spans="1:2" x14ac:dyDescent="0.2">
      <c r="A692" s="113">
        <v>2.2999999999999998</v>
      </c>
      <c r="B692" s="63" t="s">
        <v>2203</v>
      </c>
    </row>
    <row r="693" spans="1:2" x14ac:dyDescent="0.2">
      <c r="A693" s="113">
        <v>2.4</v>
      </c>
      <c r="B693" s="63" t="s">
        <v>2204</v>
      </c>
    </row>
    <row r="694" spans="1:2" x14ac:dyDescent="0.2">
      <c r="A694" s="113">
        <v>2.5</v>
      </c>
      <c r="B694" s="63" t="s">
        <v>2205</v>
      </c>
    </row>
    <row r="695" spans="1:2" x14ac:dyDescent="0.2">
      <c r="A695" s="113">
        <v>2.6</v>
      </c>
      <c r="B695" s="63" t="s">
        <v>2206</v>
      </c>
    </row>
    <row r="696" spans="1:2" x14ac:dyDescent="0.2">
      <c r="A696" s="113" t="s">
        <v>2207</v>
      </c>
      <c r="B696" s="63" t="s">
        <v>2208</v>
      </c>
    </row>
    <row r="697" spans="1:2" x14ac:dyDescent="0.2">
      <c r="A697" s="113">
        <v>3.1</v>
      </c>
      <c r="B697" s="63" t="s">
        <v>2209</v>
      </c>
    </row>
    <row r="698" spans="1:2" x14ac:dyDescent="0.2">
      <c r="A698" s="113">
        <v>3.2</v>
      </c>
      <c r="B698" s="63" t="s">
        <v>2210</v>
      </c>
    </row>
    <row r="699" spans="1:2" x14ac:dyDescent="0.2">
      <c r="A699" s="113" t="s">
        <v>750</v>
      </c>
      <c r="B699" s="63" t="s">
        <v>2211</v>
      </c>
    </row>
    <row r="700" spans="1:2" x14ac:dyDescent="0.2">
      <c r="A700" s="113" t="s">
        <v>758</v>
      </c>
      <c r="B700" s="63" t="s">
        <v>2212</v>
      </c>
    </row>
    <row r="701" spans="1:2" x14ac:dyDescent="0.2">
      <c r="A701" s="113" t="s">
        <v>1321</v>
      </c>
      <c r="B701" s="63" t="s">
        <v>2213</v>
      </c>
    </row>
    <row r="702" spans="1:2" x14ac:dyDescent="0.2">
      <c r="A702" s="113">
        <v>3.3</v>
      </c>
      <c r="B702" s="63" t="s">
        <v>2214</v>
      </c>
    </row>
    <row r="703" spans="1:2" x14ac:dyDescent="0.2">
      <c r="A703" s="113">
        <v>3.4</v>
      </c>
      <c r="B703" s="63" t="s">
        <v>2215</v>
      </c>
    </row>
    <row r="704" spans="1:2" x14ac:dyDescent="0.2">
      <c r="A704" s="113" t="s">
        <v>1339</v>
      </c>
      <c r="B704" s="63" t="s">
        <v>2216</v>
      </c>
    </row>
    <row r="705" spans="1:2" x14ac:dyDescent="0.2">
      <c r="A705" s="113">
        <v>3.5</v>
      </c>
      <c r="B705" s="63" t="s">
        <v>2217</v>
      </c>
    </row>
    <row r="706" spans="1:2" x14ac:dyDescent="0.2">
      <c r="A706" s="113" t="s">
        <v>711</v>
      </c>
      <c r="B706" s="63" t="s">
        <v>2218</v>
      </c>
    </row>
    <row r="707" spans="1:2" x14ac:dyDescent="0.2">
      <c r="A707" s="113" t="s">
        <v>1356</v>
      </c>
      <c r="B707" s="63" t="s">
        <v>2219</v>
      </c>
    </row>
    <row r="708" spans="1:2" x14ac:dyDescent="0.2">
      <c r="A708" s="113" t="s">
        <v>1358</v>
      </c>
      <c r="B708" s="63" t="s">
        <v>2220</v>
      </c>
    </row>
    <row r="709" spans="1:2" x14ac:dyDescent="0.2">
      <c r="A709" s="113" t="s">
        <v>1360</v>
      </c>
      <c r="B709" s="63" t="s">
        <v>2221</v>
      </c>
    </row>
    <row r="710" spans="1:2" x14ac:dyDescent="0.2">
      <c r="A710" s="113">
        <v>3.6</v>
      </c>
      <c r="B710" s="63" t="s">
        <v>2222</v>
      </c>
    </row>
    <row r="711" spans="1:2" x14ac:dyDescent="0.2">
      <c r="A711" s="113" t="s">
        <v>1372</v>
      </c>
      <c r="B711" s="63" t="s">
        <v>2223</v>
      </c>
    </row>
    <row r="712" spans="1:2" x14ac:dyDescent="0.2">
      <c r="A712" s="113" t="s">
        <v>737</v>
      </c>
      <c r="B712" s="63" t="s">
        <v>2224</v>
      </c>
    </row>
    <row r="713" spans="1:2" x14ac:dyDescent="0.2">
      <c r="A713" s="113" t="s">
        <v>1375</v>
      </c>
      <c r="B713" s="63" t="s">
        <v>2225</v>
      </c>
    </row>
    <row r="714" spans="1:2" x14ac:dyDescent="0.2">
      <c r="A714" s="113" t="s">
        <v>2226</v>
      </c>
      <c r="B714" s="63" t="s">
        <v>2227</v>
      </c>
    </row>
    <row r="715" spans="1:2" x14ac:dyDescent="0.2">
      <c r="A715" s="113" t="s">
        <v>2228</v>
      </c>
      <c r="B715" s="63" t="s">
        <v>2229</v>
      </c>
    </row>
    <row r="716" spans="1:2" x14ac:dyDescent="0.2">
      <c r="A716" s="113" t="s">
        <v>2230</v>
      </c>
      <c r="B716" s="63" t="s">
        <v>2231</v>
      </c>
    </row>
    <row r="717" spans="1:2" x14ac:dyDescent="0.2">
      <c r="A717" s="113" t="s">
        <v>2232</v>
      </c>
      <c r="B717" s="63" t="s">
        <v>2233</v>
      </c>
    </row>
    <row r="718" spans="1:2" x14ac:dyDescent="0.2">
      <c r="A718" s="113" t="s">
        <v>2234</v>
      </c>
      <c r="B718" s="63" t="s">
        <v>2235</v>
      </c>
    </row>
    <row r="719" spans="1:2" x14ac:dyDescent="0.2">
      <c r="A719" s="113">
        <v>3.7</v>
      </c>
      <c r="B719" s="63" t="s">
        <v>2236</v>
      </c>
    </row>
    <row r="720" spans="1:2" x14ac:dyDescent="0.2">
      <c r="A720" s="113" t="s">
        <v>2237</v>
      </c>
      <c r="B720" s="63" t="s">
        <v>2238</v>
      </c>
    </row>
    <row r="721" spans="1:2" x14ac:dyDescent="0.2">
      <c r="A721" s="113">
        <v>4.0999999999999996</v>
      </c>
      <c r="B721" s="63" t="s">
        <v>2239</v>
      </c>
    </row>
    <row r="722" spans="1:2" x14ac:dyDescent="0.2">
      <c r="A722" s="113" t="s">
        <v>2240</v>
      </c>
      <c r="B722" s="63" t="s">
        <v>2241</v>
      </c>
    </row>
    <row r="723" spans="1:2" x14ac:dyDescent="0.2">
      <c r="A723" s="113">
        <v>4.2</v>
      </c>
      <c r="B723" s="63" t="s">
        <v>2242</v>
      </c>
    </row>
    <row r="724" spans="1:2" x14ac:dyDescent="0.2">
      <c r="A724" s="113">
        <v>4.3</v>
      </c>
      <c r="B724" s="63" t="s">
        <v>2243</v>
      </c>
    </row>
    <row r="725" spans="1:2" x14ac:dyDescent="0.2">
      <c r="A725" s="113" t="s">
        <v>2244</v>
      </c>
      <c r="B725" s="63" t="s">
        <v>2245</v>
      </c>
    </row>
    <row r="726" spans="1:2" x14ac:dyDescent="0.2">
      <c r="A726" s="113">
        <v>5.0999999999999996</v>
      </c>
      <c r="B726" s="63" t="s">
        <v>2246</v>
      </c>
    </row>
    <row r="727" spans="1:2" x14ac:dyDescent="0.2">
      <c r="A727" s="113" t="s">
        <v>673</v>
      </c>
      <c r="B727" s="63" t="s">
        <v>2247</v>
      </c>
    </row>
    <row r="728" spans="1:2" x14ac:dyDescent="0.2">
      <c r="A728" s="113" t="s">
        <v>904</v>
      </c>
      <c r="B728" s="63" t="s">
        <v>2248</v>
      </c>
    </row>
    <row r="729" spans="1:2" x14ac:dyDescent="0.2">
      <c r="A729" s="113">
        <v>5.2</v>
      </c>
      <c r="B729" s="63" t="s">
        <v>2249</v>
      </c>
    </row>
    <row r="730" spans="1:2" x14ac:dyDescent="0.2">
      <c r="A730" s="113">
        <v>5.3</v>
      </c>
      <c r="B730" s="63" t="s">
        <v>2250</v>
      </c>
    </row>
    <row r="731" spans="1:2" x14ac:dyDescent="0.2">
      <c r="A731" s="113">
        <v>5.4</v>
      </c>
      <c r="B731" s="63" t="s">
        <v>2251</v>
      </c>
    </row>
    <row r="732" spans="1:2" x14ac:dyDescent="0.2">
      <c r="A732" s="113" t="s">
        <v>2252</v>
      </c>
      <c r="B732" s="63" t="s">
        <v>2253</v>
      </c>
    </row>
    <row r="733" spans="1:2" x14ac:dyDescent="0.2">
      <c r="A733" s="113">
        <v>6.1</v>
      </c>
      <c r="B733" s="63" t="s">
        <v>2254</v>
      </c>
    </row>
    <row r="734" spans="1:2" x14ac:dyDescent="0.2">
      <c r="A734" s="113">
        <v>6.2</v>
      </c>
      <c r="B734" s="63" t="s">
        <v>2255</v>
      </c>
    </row>
    <row r="735" spans="1:2" x14ac:dyDescent="0.2">
      <c r="A735" s="113">
        <v>6.3</v>
      </c>
      <c r="B735" s="63" t="s">
        <v>2256</v>
      </c>
    </row>
    <row r="736" spans="1:2" x14ac:dyDescent="0.2">
      <c r="A736" s="113" t="s">
        <v>2257</v>
      </c>
      <c r="B736" s="63" t="s">
        <v>2258</v>
      </c>
    </row>
    <row r="737" spans="1:2" x14ac:dyDescent="0.2">
      <c r="A737" s="113" t="s">
        <v>2134</v>
      </c>
      <c r="B737" s="63" t="s">
        <v>2259</v>
      </c>
    </row>
    <row r="738" spans="1:2" x14ac:dyDescent="0.2">
      <c r="A738" s="113">
        <v>6.4</v>
      </c>
      <c r="B738" s="63" t="s">
        <v>2260</v>
      </c>
    </row>
    <row r="739" spans="1:2" x14ac:dyDescent="0.2">
      <c r="A739" s="113" t="s">
        <v>2261</v>
      </c>
      <c r="B739" s="63" t="s">
        <v>2262</v>
      </c>
    </row>
    <row r="740" spans="1:2" x14ac:dyDescent="0.2">
      <c r="A740" s="113" t="s">
        <v>2263</v>
      </c>
      <c r="B740" s="63" t="s">
        <v>2264</v>
      </c>
    </row>
    <row r="741" spans="1:2" x14ac:dyDescent="0.2">
      <c r="A741" s="113" t="s">
        <v>2265</v>
      </c>
      <c r="B741" s="63" t="s">
        <v>2266</v>
      </c>
    </row>
    <row r="742" spans="1:2" x14ac:dyDescent="0.2">
      <c r="A742" s="113" t="s">
        <v>2267</v>
      </c>
      <c r="B742" s="63" t="s">
        <v>2268</v>
      </c>
    </row>
    <row r="743" spans="1:2" x14ac:dyDescent="0.2">
      <c r="A743" s="113" t="s">
        <v>2132</v>
      </c>
      <c r="B743" s="63" t="s">
        <v>2269</v>
      </c>
    </row>
    <row r="744" spans="1:2" x14ac:dyDescent="0.2">
      <c r="A744" s="113" t="s">
        <v>2270</v>
      </c>
      <c r="B744" s="63" t="s">
        <v>2271</v>
      </c>
    </row>
    <row r="745" spans="1:2" x14ac:dyDescent="0.2">
      <c r="A745" s="113" t="s">
        <v>2272</v>
      </c>
      <c r="B745" s="63" t="s">
        <v>2273</v>
      </c>
    </row>
    <row r="746" spans="1:2" x14ac:dyDescent="0.2">
      <c r="A746" s="113" t="s">
        <v>2274</v>
      </c>
      <c r="B746" s="63" t="s">
        <v>2275</v>
      </c>
    </row>
    <row r="747" spans="1:2" x14ac:dyDescent="0.2">
      <c r="A747" s="113" t="s">
        <v>2276</v>
      </c>
      <c r="B747" s="63" t="s">
        <v>2277</v>
      </c>
    </row>
    <row r="748" spans="1:2" x14ac:dyDescent="0.2">
      <c r="A748" s="113" t="s">
        <v>2278</v>
      </c>
      <c r="B748" s="63" t="s">
        <v>2279</v>
      </c>
    </row>
    <row r="749" spans="1:2" x14ac:dyDescent="0.2">
      <c r="A749" s="113">
        <v>6.5</v>
      </c>
      <c r="B749" s="63" t="s">
        <v>2280</v>
      </c>
    </row>
    <row r="750" spans="1:2" x14ac:dyDescent="0.2">
      <c r="A750" s="113" t="s">
        <v>2281</v>
      </c>
      <c r="B750" s="63" t="s">
        <v>2282</v>
      </c>
    </row>
    <row r="751" spans="1:2" x14ac:dyDescent="0.2">
      <c r="A751" s="113" t="s">
        <v>2283</v>
      </c>
      <c r="B751" s="63" t="s">
        <v>2284</v>
      </c>
    </row>
    <row r="752" spans="1:2" x14ac:dyDescent="0.2">
      <c r="A752" s="113" t="s">
        <v>2285</v>
      </c>
      <c r="B752" s="63" t="s">
        <v>2286</v>
      </c>
    </row>
    <row r="753" spans="1:2" x14ac:dyDescent="0.2">
      <c r="A753" s="113" t="s">
        <v>2287</v>
      </c>
      <c r="B753" s="63" t="s">
        <v>2288</v>
      </c>
    </row>
    <row r="754" spans="1:2" x14ac:dyDescent="0.2">
      <c r="A754" s="113" t="s">
        <v>2289</v>
      </c>
      <c r="B754" s="63" t="s">
        <v>2290</v>
      </c>
    </row>
    <row r="755" spans="1:2" x14ac:dyDescent="0.2">
      <c r="A755" s="113" t="s">
        <v>2291</v>
      </c>
      <c r="B755" s="63" t="s">
        <v>2292</v>
      </c>
    </row>
    <row r="756" spans="1:2" x14ac:dyDescent="0.2">
      <c r="A756" s="113" t="s">
        <v>2293</v>
      </c>
      <c r="B756" s="63" t="s">
        <v>2294</v>
      </c>
    </row>
    <row r="757" spans="1:2" x14ac:dyDescent="0.2">
      <c r="A757" s="113" t="s">
        <v>2295</v>
      </c>
      <c r="B757" s="63" t="s">
        <v>2296</v>
      </c>
    </row>
    <row r="758" spans="1:2" x14ac:dyDescent="0.2">
      <c r="A758" s="113" t="s">
        <v>2297</v>
      </c>
      <c r="B758" s="63" t="s">
        <v>2298</v>
      </c>
    </row>
    <row r="759" spans="1:2" x14ac:dyDescent="0.2">
      <c r="A759" s="113" t="s">
        <v>2299</v>
      </c>
      <c r="B759" s="63" t="s">
        <v>2300</v>
      </c>
    </row>
    <row r="760" spans="1:2" x14ac:dyDescent="0.2">
      <c r="A760" s="113">
        <v>6.6</v>
      </c>
      <c r="B760" s="63" t="s">
        <v>2301</v>
      </c>
    </row>
    <row r="761" spans="1:2" x14ac:dyDescent="0.2">
      <c r="A761" s="113">
        <v>6.7</v>
      </c>
      <c r="B761" s="63" t="s">
        <v>2302</v>
      </c>
    </row>
    <row r="762" spans="1:2" x14ac:dyDescent="0.2">
      <c r="A762" s="113" t="s">
        <v>2108</v>
      </c>
      <c r="B762" s="63" t="s">
        <v>2303</v>
      </c>
    </row>
    <row r="763" spans="1:2" x14ac:dyDescent="0.2">
      <c r="A763" s="113">
        <v>7.1</v>
      </c>
      <c r="B763" s="63" t="s">
        <v>2304</v>
      </c>
    </row>
    <row r="764" spans="1:2" x14ac:dyDescent="0.2">
      <c r="A764" s="113" t="s">
        <v>676</v>
      </c>
      <c r="B764" s="63" t="s">
        <v>2305</v>
      </c>
    </row>
    <row r="765" spans="1:2" x14ac:dyDescent="0.2">
      <c r="A765" s="113" t="s">
        <v>677</v>
      </c>
      <c r="B765" s="63" t="s">
        <v>2306</v>
      </c>
    </row>
    <row r="766" spans="1:2" x14ac:dyDescent="0.2">
      <c r="A766" s="113" t="s">
        <v>662</v>
      </c>
      <c r="B766" s="63" t="s">
        <v>2307</v>
      </c>
    </row>
    <row r="767" spans="1:2" x14ac:dyDescent="0.2">
      <c r="A767" s="113" t="s">
        <v>2308</v>
      </c>
      <c r="B767" s="63" t="s">
        <v>2309</v>
      </c>
    </row>
    <row r="768" spans="1:2" x14ac:dyDescent="0.2">
      <c r="A768" s="113">
        <v>7.2</v>
      </c>
      <c r="B768" s="63" t="s">
        <v>2310</v>
      </c>
    </row>
    <row r="769" spans="1:2" x14ac:dyDescent="0.2">
      <c r="A769" s="113" t="s">
        <v>921</v>
      </c>
      <c r="B769" s="63" t="s">
        <v>2311</v>
      </c>
    </row>
    <row r="770" spans="1:2" x14ac:dyDescent="0.2">
      <c r="A770" s="113" t="s">
        <v>678</v>
      </c>
      <c r="B770" s="63" t="s">
        <v>2312</v>
      </c>
    </row>
    <row r="771" spans="1:2" x14ac:dyDescent="0.2">
      <c r="A771" s="113" t="s">
        <v>924</v>
      </c>
      <c r="B771" s="63" t="s">
        <v>2313</v>
      </c>
    </row>
    <row r="772" spans="1:2" x14ac:dyDescent="0.2">
      <c r="A772" s="113">
        <v>7.3</v>
      </c>
      <c r="B772" s="63" t="s">
        <v>2314</v>
      </c>
    </row>
    <row r="773" spans="1:2" x14ac:dyDescent="0.2">
      <c r="A773" s="113" t="s">
        <v>2113</v>
      </c>
      <c r="B773" s="63" t="s">
        <v>2315</v>
      </c>
    </row>
    <row r="774" spans="1:2" x14ac:dyDescent="0.2">
      <c r="A774" s="113">
        <v>8.1</v>
      </c>
      <c r="B774" s="63" t="s">
        <v>2316</v>
      </c>
    </row>
    <row r="775" spans="1:2" x14ac:dyDescent="0.2">
      <c r="A775" s="113" t="s">
        <v>928</v>
      </c>
      <c r="B775" s="63" t="s">
        <v>2317</v>
      </c>
    </row>
    <row r="776" spans="1:2" x14ac:dyDescent="0.2">
      <c r="A776" s="113" t="s">
        <v>652</v>
      </c>
      <c r="B776" s="63" t="s">
        <v>2318</v>
      </c>
    </row>
    <row r="777" spans="1:2" x14ac:dyDescent="0.2">
      <c r="A777" s="113" t="s">
        <v>931</v>
      </c>
      <c r="B777" s="63" t="s">
        <v>2319</v>
      </c>
    </row>
    <row r="778" spans="1:2" x14ac:dyDescent="0.2">
      <c r="A778" s="113" t="s">
        <v>650</v>
      </c>
      <c r="B778" s="63" t="s">
        <v>2320</v>
      </c>
    </row>
    <row r="779" spans="1:2" x14ac:dyDescent="0.2">
      <c r="A779" s="113" t="s">
        <v>2321</v>
      </c>
      <c r="B779" s="63" t="s">
        <v>2322</v>
      </c>
    </row>
    <row r="780" spans="1:2" x14ac:dyDescent="0.2">
      <c r="A780" s="113" t="s">
        <v>2323</v>
      </c>
      <c r="B780" s="63" t="s">
        <v>2324</v>
      </c>
    </row>
    <row r="781" spans="1:2" x14ac:dyDescent="0.2">
      <c r="A781" s="113" t="s">
        <v>2325</v>
      </c>
      <c r="B781" s="63" t="s">
        <v>2326</v>
      </c>
    </row>
    <row r="782" spans="1:2" x14ac:dyDescent="0.2">
      <c r="A782" s="113" t="s">
        <v>2327</v>
      </c>
      <c r="B782" s="63" t="s">
        <v>2328</v>
      </c>
    </row>
    <row r="783" spans="1:2" x14ac:dyDescent="0.2">
      <c r="A783" s="113">
        <v>8.1999999999999993</v>
      </c>
      <c r="B783" s="63" t="s">
        <v>2329</v>
      </c>
    </row>
    <row r="784" spans="1:2" x14ac:dyDescent="0.2">
      <c r="A784" s="113" t="s">
        <v>647</v>
      </c>
      <c r="B784" s="63" t="s">
        <v>2330</v>
      </c>
    </row>
    <row r="785" spans="1:2" x14ac:dyDescent="0.2">
      <c r="A785" s="113" t="s">
        <v>935</v>
      </c>
      <c r="B785" s="63" t="s">
        <v>2331</v>
      </c>
    </row>
    <row r="786" spans="1:2" x14ac:dyDescent="0.2">
      <c r="A786" s="113" t="s">
        <v>667</v>
      </c>
      <c r="B786" s="63" t="s">
        <v>2332</v>
      </c>
    </row>
    <row r="787" spans="1:2" x14ac:dyDescent="0.2">
      <c r="A787" s="113" t="s">
        <v>2333</v>
      </c>
      <c r="B787" s="63" t="s">
        <v>2334</v>
      </c>
    </row>
    <row r="788" spans="1:2" x14ac:dyDescent="0.2">
      <c r="A788" s="113" t="s">
        <v>2335</v>
      </c>
      <c r="B788" s="63" t="s">
        <v>2336</v>
      </c>
    </row>
    <row r="789" spans="1:2" x14ac:dyDescent="0.2">
      <c r="A789" s="113" t="s">
        <v>2337</v>
      </c>
      <c r="B789" s="63" t="s">
        <v>2338</v>
      </c>
    </row>
    <row r="790" spans="1:2" x14ac:dyDescent="0.2">
      <c r="A790" s="113">
        <v>8.3000000000000007</v>
      </c>
      <c r="B790" s="63" t="s">
        <v>2339</v>
      </c>
    </row>
    <row r="791" spans="1:2" x14ac:dyDescent="0.2">
      <c r="A791" s="113" t="s">
        <v>654</v>
      </c>
      <c r="B791" s="63" t="s">
        <v>2340</v>
      </c>
    </row>
    <row r="792" spans="1:2" x14ac:dyDescent="0.2">
      <c r="A792" s="113" t="s">
        <v>939</v>
      </c>
      <c r="B792" s="63" t="s">
        <v>2341</v>
      </c>
    </row>
    <row r="793" spans="1:2" x14ac:dyDescent="0.2">
      <c r="A793" s="113">
        <v>8.4</v>
      </c>
      <c r="B793" s="63" t="s">
        <v>2342</v>
      </c>
    </row>
    <row r="794" spans="1:2" x14ac:dyDescent="0.2">
      <c r="A794" s="113">
        <v>8.5</v>
      </c>
      <c r="B794" s="63" t="s">
        <v>2343</v>
      </c>
    </row>
    <row r="795" spans="1:2" x14ac:dyDescent="0.2">
      <c r="A795" s="113" t="s">
        <v>2344</v>
      </c>
      <c r="B795" s="63" t="s">
        <v>2345</v>
      </c>
    </row>
    <row r="796" spans="1:2" x14ac:dyDescent="0.2">
      <c r="A796" s="113">
        <v>8.6</v>
      </c>
      <c r="B796" s="63" t="s">
        <v>2346</v>
      </c>
    </row>
    <row r="797" spans="1:2" x14ac:dyDescent="0.2">
      <c r="A797" s="113">
        <v>8.6999999999999993</v>
      </c>
      <c r="B797" s="63" t="s">
        <v>2347</v>
      </c>
    </row>
    <row r="798" spans="1:2" x14ac:dyDescent="0.2">
      <c r="A798" s="113">
        <v>8.8000000000000007</v>
      </c>
      <c r="B798" s="63" t="s">
        <v>2348</v>
      </c>
    </row>
    <row r="799" spans="1:2" x14ac:dyDescent="0.2">
      <c r="A799" s="113" t="s">
        <v>2127</v>
      </c>
      <c r="B799" s="63" t="s">
        <v>2349</v>
      </c>
    </row>
    <row r="800" spans="1:2" x14ac:dyDescent="0.2">
      <c r="A800" s="113">
        <v>9.1</v>
      </c>
      <c r="B800" s="63" t="s">
        <v>2350</v>
      </c>
    </row>
    <row r="801" spans="1:2" x14ac:dyDescent="0.2">
      <c r="A801" s="113" t="s">
        <v>626</v>
      </c>
      <c r="B801" s="63" t="s">
        <v>2351</v>
      </c>
    </row>
    <row r="802" spans="1:2" x14ac:dyDescent="0.2">
      <c r="A802" s="113" t="s">
        <v>622</v>
      </c>
      <c r="B802" s="63" t="s">
        <v>2352</v>
      </c>
    </row>
    <row r="803" spans="1:2" x14ac:dyDescent="0.2">
      <c r="A803" s="113" t="s">
        <v>2353</v>
      </c>
      <c r="B803" s="63" t="s">
        <v>2354</v>
      </c>
    </row>
    <row r="804" spans="1:2" x14ac:dyDescent="0.2">
      <c r="A804" s="113">
        <v>9.1999999999999993</v>
      </c>
      <c r="B804" s="63" t="s">
        <v>2355</v>
      </c>
    </row>
    <row r="805" spans="1:2" x14ac:dyDescent="0.2">
      <c r="A805" s="113">
        <v>9.3000000000000007</v>
      </c>
      <c r="B805" s="63" t="s">
        <v>2356</v>
      </c>
    </row>
    <row r="806" spans="1:2" x14ac:dyDescent="0.2">
      <c r="A806" s="113">
        <v>9.4</v>
      </c>
      <c r="B806" s="63" t="s">
        <v>2357</v>
      </c>
    </row>
    <row r="807" spans="1:2" x14ac:dyDescent="0.2">
      <c r="A807" s="113" t="s">
        <v>955</v>
      </c>
      <c r="B807" s="63" t="s">
        <v>2358</v>
      </c>
    </row>
    <row r="808" spans="1:2" x14ac:dyDescent="0.2">
      <c r="A808" s="113" t="s">
        <v>668</v>
      </c>
      <c r="B808" s="63" t="s">
        <v>2359</v>
      </c>
    </row>
    <row r="809" spans="1:2" x14ac:dyDescent="0.2">
      <c r="A809" s="113" t="s">
        <v>632</v>
      </c>
      <c r="B809" s="63" t="s">
        <v>2360</v>
      </c>
    </row>
    <row r="810" spans="1:2" x14ac:dyDescent="0.2">
      <c r="A810" s="113" t="s">
        <v>959</v>
      </c>
      <c r="B810" s="63" t="s">
        <v>2361</v>
      </c>
    </row>
    <row r="811" spans="1:2" x14ac:dyDescent="0.2">
      <c r="A811" s="113">
        <v>9.5</v>
      </c>
      <c r="B811" s="63" t="s">
        <v>2362</v>
      </c>
    </row>
    <row r="812" spans="1:2" x14ac:dyDescent="0.2">
      <c r="A812" s="113" t="s">
        <v>2363</v>
      </c>
      <c r="B812" s="63" t="s">
        <v>2364</v>
      </c>
    </row>
    <row r="813" spans="1:2" x14ac:dyDescent="0.2">
      <c r="A813" s="113">
        <v>9.6</v>
      </c>
      <c r="B813" s="63" t="s">
        <v>2365</v>
      </c>
    </row>
    <row r="814" spans="1:2" x14ac:dyDescent="0.2">
      <c r="A814" s="113" t="s">
        <v>2366</v>
      </c>
      <c r="B814" s="63" t="s">
        <v>2367</v>
      </c>
    </row>
    <row r="815" spans="1:2" x14ac:dyDescent="0.2">
      <c r="A815" s="113" t="s">
        <v>2368</v>
      </c>
      <c r="B815" s="63" t="s">
        <v>2369</v>
      </c>
    </row>
    <row r="816" spans="1:2" x14ac:dyDescent="0.2">
      <c r="A816" s="113" t="s">
        <v>2370</v>
      </c>
      <c r="B816" s="63" t="s">
        <v>2371</v>
      </c>
    </row>
    <row r="817" spans="1:2" x14ac:dyDescent="0.2">
      <c r="A817" s="113">
        <v>9.6999999999999993</v>
      </c>
      <c r="B817" s="63" t="s">
        <v>2372</v>
      </c>
    </row>
    <row r="818" spans="1:2" x14ac:dyDescent="0.2">
      <c r="A818" s="113" t="s">
        <v>2373</v>
      </c>
      <c r="B818" s="63" t="s">
        <v>2374</v>
      </c>
    </row>
    <row r="819" spans="1:2" x14ac:dyDescent="0.2">
      <c r="A819" s="113">
        <v>9.8000000000000007</v>
      </c>
      <c r="B819" s="63" t="s">
        <v>2375</v>
      </c>
    </row>
    <row r="820" spans="1:2" x14ac:dyDescent="0.2">
      <c r="A820" s="113" t="s">
        <v>2376</v>
      </c>
      <c r="B820" s="63" t="s">
        <v>2377</v>
      </c>
    </row>
    <row r="821" spans="1:2" x14ac:dyDescent="0.2">
      <c r="A821" s="113" t="s">
        <v>2378</v>
      </c>
      <c r="B821" s="63" t="s">
        <v>2379</v>
      </c>
    </row>
    <row r="822" spans="1:2" x14ac:dyDescent="0.2">
      <c r="A822" s="113">
        <v>9.9</v>
      </c>
      <c r="B822" s="63" t="s">
        <v>2380</v>
      </c>
    </row>
    <row r="823" spans="1:2" x14ac:dyDescent="0.2">
      <c r="A823" s="113" t="s">
        <v>2381</v>
      </c>
      <c r="B823" s="63" t="s">
        <v>2382</v>
      </c>
    </row>
    <row r="824" spans="1:2" x14ac:dyDescent="0.2">
      <c r="A824" s="113" t="s">
        <v>2383</v>
      </c>
      <c r="B824" s="63" t="s">
        <v>2384</v>
      </c>
    </row>
    <row r="825" spans="1:2" x14ac:dyDescent="0.2">
      <c r="A825" s="113" t="s">
        <v>2385</v>
      </c>
      <c r="B825" s="63" t="s">
        <v>2386</v>
      </c>
    </row>
    <row r="826" spans="1:2" x14ac:dyDescent="0.2">
      <c r="A826" s="113" t="s">
        <v>2547</v>
      </c>
      <c r="B826" s="63" t="s">
        <v>2387</v>
      </c>
    </row>
    <row r="827" spans="1:2" x14ac:dyDescent="0.2">
      <c r="A827" s="113" t="s">
        <v>2388</v>
      </c>
      <c r="B827" s="63" t="s">
        <v>2389</v>
      </c>
    </row>
    <row r="828" spans="1:2" x14ac:dyDescent="0.2">
      <c r="A828" s="113">
        <v>10.1</v>
      </c>
      <c r="B828" s="63" t="s">
        <v>2390</v>
      </c>
    </row>
    <row r="829" spans="1:2" x14ac:dyDescent="0.2">
      <c r="A829" s="113">
        <v>10.199999999999999</v>
      </c>
      <c r="B829" s="63" t="s">
        <v>2391</v>
      </c>
    </row>
    <row r="830" spans="1:2" x14ac:dyDescent="0.2">
      <c r="A830" s="113" t="s">
        <v>2392</v>
      </c>
      <c r="B830" s="63" t="s">
        <v>2393</v>
      </c>
    </row>
    <row r="831" spans="1:2" x14ac:dyDescent="0.2">
      <c r="A831" s="113" t="s">
        <v>2394</v>
      </c>
      <c r="B831" s="63" t="s">
        <v>2395</v>
      </c>
    </row>
    <row r="832" spans="1:2" x14ac:dyDescent="0.2">
      <c r="A832" s="113" t="s">
        <v>2396</v>
      </c>
      <c r="B832" s="63" t="s">
        <v>2397</v>
      </c>
    </row>
    <row r="833" spans="1:2" x14ac:dyDescent="0.2">
      <c r="A833" s="113" t="s">
        <v>2398</v>
      </c>
      <c r="B833" s="63" t="s">
        <v>2399</v>
      </c>
    </row>
    <row r="834" spans="1:2" x14ac:dyDescent="0.2">
      <c r="A834" s="113" t="s">
        <v>2400</v>
      </c>
      <c r="B834" s="63" t="s">
        <v>2401</v>
      </c>
    </row>
    <row r="835" spans="1:2" x14ac:dyDescent="0.2">
      <c r="A835" s="113" t="s">
        <v>2402</v>
      </c>
      <c r="B835" s="63" t="s">
        <v>2403</v>
      </c>
    </row>
    <row r="836" spans="1:2" x14ac:dyDescent="0.2">
      <c r="A836" s="113" t="s">
        <v>2404</v>
      </c>
      <c r="B836" s="63" t="s">
        <v>2405</v>
      </c>
    </row>
    <row r="837" spans="1:2" x14ac:dyDescent="0.2">
      <c r="A837" s="113">
        <v>10.3</v>
      </c>
      <c r="B837" s="63" t="s">
        <v>2406</v>
      </c>
    </row>
    <row r="838" spans="1:2" x14ac:dyDescent="0.2">
      <c r="A838" s="113" t="s">
        <v>2407</v>
      </c>
      <c r="B838" s="63" t="s">
        <v>2408</v>
      </c>
    </row>
    <row r="839" spans="1:2" x14ac:dyDescent="0.2">
      <c r="A839" s="113" t="s">
        <v>2409</v>
      </c>
      <c r="B839" s="63" t="s">
        <v>2410</v>
      </c>
    </row>
    <row r="840" spans="1:2" x14ac:dyDescent="0.2">
      <c r="A840" s="113" t="s">
        <v>2411</v>
      </c>
      <c r="B840" s="63" t="s">
        <v>2412</v>
      </c>
    </row>
    <row r="841" spans="1:2" x14ac:dyDescent="0.2">
      <c r="A841" s="113" t="s">
        <v>2413</v>
      </c>
      <c r="B841" s="63" t="s">
        <v>2414</v>
      </c>
    </row>
    <row r="842" spans="1:2" x14ac:dyDescent="0.2">
      <c r="A842" s="113" t="s">
        <v>2415</v>
      </c>
      <c r="B842" s="63" t="s">
        <v>2416</v>
      </c>
    </row>
    <row r="843" spans="1:2" x14ac:dyDescent="0.2">
      <c r="A843" s="113" t="s">
        <v>2417</v>
      </c>
      <c r="B843" s="63" t="s">
        <v>2418</v>
      </c>
    </row>
    <row r="844" spans="1:2" x14ac:dyDescent="0.2">
      <c r="A844" s="113">
        <v>10.4</v>
      </c>
      <c r="B844" s="63" t="s">
        <v>2419</v>
      </c>
    </row>
    <row r="845" spans="1:2" x14ac:dyDescent="0.2">
      <c r="A845" s="113" t="s">
        <v>2420</v>
      </c>
      <c r="B845" s="63" t="s">
        <v>2421</v>
      </c>
    </row>
    <row r="846" spans="1:2" x14ac:dyDescent="0.2">
      <c r="A846" s="113" t="s">
        <v>2422</v>
      </c>
      <c r="B846" s="63" t="s">
        <v>2423</v>
      </c>
    </row>
    <row r="847" spans="1:2" x14ac:dyDescent="0.2">
      <c r="A847" s="113" t="s">
        <v>2424</v>
      </c>
      <c r="B847" s="63" t="s">
        <v>2425</v>
      </c>
    </row>
    <row r="848" spans="1:2" x14ac:dyDescent="0.2">
      <c r="A848" s="113">
        <v>10.5</v>
      </c>
      <c r="B848" s="63" t="s">
        <v>2426</v>
      </c>
    </row>
    <row r="849" spans="1:2" x14ac:dyDescent="0.2">
      <c r="A849" s="113" t="s">
        <v>2427</v>
      </c>
      <c r="B849" s="63" t="s">
        <v>2428</v>
      </c>
    </row>
    <row r="850" spans="1:2" x14ac:dyDescent="0.2">
      <c r="A850" s="113" t="s">
        <v>2429</v>
      </c>
      <c r="B850" s="63" t="s">
        <v>2430</v>
      </c>
    </row>
    <row r="851" spans="1:2" x14ac:dyDescent="0.2">
      <c r="A851" s="113" t="s">
        <v>2431</v>
      </c>
      <c r="B851" s="63" t="s">
        <v>2432</v>
      </c>
    </row>
    <row r="852" spans="1:2" x14ac:dyDescent="0.2">
      <c r="A852" s="113" t="s">
        <v>2433</v>
      </c>
      <c r="B852" s="63" t="s">
        <v>2434</v>
      </c>
    </row>
    <row r="853" spans="1:2" x14ac:dyDescent="0.2">
      <c r="A853" s="113" t="s">
        <v>2435</v>
      </c>
      <c r="B853" s="63" t="s">
        <v>2436</v>
      </c>
    </row>
    <row r="854" spans="1:2" x14ac:dyDescent="0.2">
      <c r="A854" s="113">
        <v>10.6</v>
      </c>
      <c r="B854" s="63" t="s">
        <v>2437</v>
      </c>
    </row>
    <row r="855" spans="1:2" x14ac:dyDescent="0.2">
      <c r="A855" s="113" t="s">
        <v>2438</v>
      </c>
      <c r="B855" s="63" t="s">
        <v>2439</v>
      </c>
    </row>
    <row r="856" spans="1:2" x14ac:dyDescent="0.2">
      <c r="A856" s="113" t="s">
        <v>2440</v>
      </c>
      <c r="B856" s="63" t="s">
        <v>2441</v>
      </c>
    </row>
    <row r="857" spans="1:2" x14ac:dyDescent="0.2">
      <c r="A857" s="113" t="s">
        <v>2442</v>
      </c>
      <c r="B857" s="63" t="s">
        <v>2443</v>
      </c>
    </row>
    <row r="858" spans="1:2" x14ac:dyDescent="0.2">
      <c r="A858" s="113">
        <v>10.7</v>
      </c>
      <c r="B858" s="63" t="s">
        <v>2444</v>
      </c>
    </row>
    <row r="859" spans="1:2" x14ac:dyDescent="0.2">
      <c r="A859" s="113">
        <v>10.8</v>
      </c>
      <c r="B859" s="63" t="s">
        <v>2445</v>
      </c>
    </row>
    <row r="860" spans="1:2" x14ac:dyDescent="0.2">
      <c r="A860" s="113" t="s">
        <v>2446</v>
      </c>
      <c r="B860" s="63" t="s">
        <v>2447</v>
      </c>
    </row>
    <row r="861" spans="1:2" x14ac:dyDescent="0.2">
      <c r="A861" s="113">
        <v>10.9</v>
      </c>
      <c r="B861" s="63" t="s">
        <v>2448</v>
      </c>
    </row>
    <row r="862" spans="1:2" x14ac:dyDescent="0.2">
      <c r="A862" s="113" t="s">
        <v>2449</v>
      </c>
      <c r="B862" s="63" t="s">
        <v>2450</v>
      </c>
    </row>
    <row r="863" spans="1:2" x14ac:dyDescent="0.2">
      <c r="A863" s="113">
        <v>11.1</v>
      </c>
      <c r="B863" s="63" t="s">
        <v>2451</v>
      </c>
    </row>
    <row r="864" spans="1:2" x14ac:dyDescent="0.2">
      <c r="A864" s="113" t="s">
        <v>657</v>
      </c>
      <c r="B864" s="63" t="s">
        <v>2452</v>
      </c>
    </row>
    <row r="865" spans="1:2" x14ac:dyDescent="0.2">
      <c r="A865" s="113" t="s">
        <v>670</v>
      </c>
      <c r="B865" s="63" t="s">
        <v>2453</v>
      </c>
    </row>
    <row r="866" spans="1:2" x14ac:dyDescent="0.2">
      <c r="A866" s="113">
        <v>11.2</v>
      </c>
      <c r="B866" s="63" t="s">
        <v>2454</v>
      </c>
    </row>
    <row r="867" spans="1:2" x14ac:dyDescent="0.2">
      <c r="A867" s="113" t="s">
        <v>659</v>
      </c>
      <c r="B867" s="63" t="s">
        <v>2455</v>
      </c>
    </row>
    <row r="868" spans="1:2" x14ac:dyDescent="0.2">
      <c r="A868" s="113" t="s">
        <v>975</v>
      </c>
      <c r="B868" s="63" t="s">
        <v>2456</v>
      </c>
    </row>
    <row r="869" spans="1:2" x14ac:dyDescent="0.2">
      <c r="A869" s="113" t="s">
        <v>977</v>
      </c>
      <c r="B869" s="63" t="s">
        <v>2457</v>
      </c>
    </row>
    <row r="870" spans="1:2" x14ac:dyDescent="0.2">
      <c r="A870" s="113">
        <v>11.3</v>
      </c>
      <c r="B870" s="63" t="s">
        <v>2458</v>
      </c>
    </row>
    <row r="871" spans="1:2" x14ac:dyDescent="0.2">
      <c r="A871" s="113" t="s">
        <v>2459</v>
      </c>
      <c r="B871" s="63" t="s">
        <v>2460</v>
      </c>
    </row>
    <row r="872" spans="1:2" x14ac:dyDescent="0.2">
      <c r="A872" s="113" t="s">
        <v>2461</v>
      </c>
      <c r="B872" s="63" t="s">
        <v>2462</v>
      </c>
    </row>
    <row r="873" spans="1:2" x14ac:dyDescent="0.2">
      <c r="A873" s="113" t="s">
        <v>2463</v>
      </c>
      <c r="B873" s="63" t="s">
        <v>2464</v>
      </c>
    </row>
    <row r="874" spans="1:2" x14ac:dyDescent="0.2">
      <c r="A874" s="113" t="s">
        <v>2465</v>
      </c>
      <c r="B874" s="63" t="s">
        <v>2466</v>
      </c>
    </row>
    <row r="875" spans="1:2" x14ac:dyDescent="0.2">
      <c r="A875" s="113" t="s">
        <v>2467</v>
      </c>
      <c r="B875" s="63" t="s">
        <v>2468</v>
      </c>
    </row>
    <row r="876" spans="1:2" x14ac:dyDescent="0.2">
      <c r="A876" s="113">
        <v>11.4</v>
      </c>
      <c r="B876" s="63" t="s">
        <v>2469</v>
      </c>
    </row>
    <row r="877" spans="1:2" x14ac:dyDescent="0.2">
      <c r="A877" s="113">
        <v>11.5</v>
      </c>
      <c r="B877" s="63" t="s">
        <v>2470</v>
      </c>
    </row>
    <row r="878" spans="1:2" x14ac:dyDescent="0.2">
      <c r="A878" s="113" t="s">
        <v>2471</v>
      </c>
      <c r="B878" s="63" t="s">
        <v>2472</v>
      </c>
    </row>
    <row r="879" spans="1:2" x14ac:dyDescent="0.2">
      <c r="A879" s="113">
        <v>11.6</v>
      </c>
      <c r="B879" s="63" t="s">
        <v>2473</v>
      </c>
    </row>
    <row r="880" spans="1:2" x14ac:dyDescent="0.2">
      <c r="A880" s="113" t="s">
        <v>2110</v>
      </c>
      <c r="B880" s="63" t="s">
        <v>2474</v>
      </c>
    </row>
    <row r="881" spans="1:2" x14ac:dyDescent="0.2">
      <c r="A881" s="113">
        <v>12.1</v>
      </c>
      <c r="B881" s="63" t="s">
        <v>2475</v>
      </c>
    </row>
    <row r="882" spans="1:2" x14ac:dyDescent="0.2">
      <c r="A882" s="113" t="s">
        <v>628</v>
      </c>
      <c r="B882" s="63" t="s">
        <v>2476</v>
      </c>
    </row>
    <row r="883" spans="1:2" x14ac:dyDescent="0.2">
      <c r="A883" s="113">
        <v>12.2</v>
      </c>
      <c r="B883" s="63" t="s">
        <v>2477</v>
      </c>
    </row>
    <row r="884" spans="1:2" x14ac:dyDescent="0.2">
      <c r="A884" s="113">
        <v>12.3</v>
      </c>
      <c r="B884" s="63" t="s">
        <v>2478</v>
      </c>
    </row>
    <row r="885" spans="1:2" x14ac:dyDescent="0.2">
      <c r="A885" s="113" t="s">
        <v>651</v>
      </c>
      <c r="B885" s="63" t="s">
        <v>2479</v>
      </c>
    </row>
    <row r="886" spans="1:2" x14ac:dyDescent="0.2">
      <c r="A886" s="113" t="s">
        <v>2480</v>
      </c>
      <c r="B886" s="63" t="s">
        <v>2481</v>
      </c>
    </row>
    <row r="887" spans="1:2" x14ac:dyDescent="0.2">
      <c r="A887" s="113" t="s">
        <v>2482</v>
      </c>
      <c r="B887" s="63" t="s">
        <v>2483</v>
      </c>
    </row>
    <row r="888" spans="1:2" x14ac:dyDescent="0.2">
      <c r="A888" s="113" t="s">
        <v>2484</v>
      </c>
      <c r="B888" s="63" t="s">
        <v>2485</v>
      </c>
    </row>
    <row r="889" spans="1:2" x14ac:dyDescent="0.2">
      <c r="A889" s="113" t="s">
        <v>2486</v>
      </c>
      <c r="B889" s="63" t="s">
        <v>2487</v>
      </c>
    </row>
    <row r="890" spans="1:2" x14ac:dyDescent="0.2">
      <c r="A890" s="113" t="s">
        <v>2488</v>
      </c>
      <c r="B890" s="63" t="s">
        <v>2489</v>
      </c>
    </row>
    <row r="891" spans="1:2" x14ac:dyDescent="0.2">
      <c r="A891" s="113" t="s">
        <v>2490</v>
      </c>
      <c r="B891" s="63" t="s">
        <v>2491</v>
      </c>
    </row>
    <row r="892" spans="1:2" x14ac:dyDescent="0.2">
      <c r="A892" s="113" t="s">
        <v>2492</v>
      </c>
      <c r="B892" s="63" t="s">
        <v>2493</v>
      </c>
    </row>
    <row r="893" spans="1:2" x14ac:dyDescent="0.2">
      <c r="A893" s="113" t="s">
        <v>2494</v>
      </c>
      <c r="B893" s="63" t="s">
        <v>2495</v>
      </c>
    </row>
    <row r="894" spans="1:2" x14ac:dyDescent="0.2">
      <c r="A894" s="113" t="s">
        <v>2496</v>
      </c>
      <c r="B894" s="63" t="s">
        <v>2497</v>
      </c>
    </row>
    <row r="895" spans="1:2" x14ac:dyDescent="0.2">
      <c r="A895" s="113">
        <v>12.4</v>
      </c>
      <c r="B895" s="63" t="s">
        <v>2498</v>
      </c>
    </row>
    <row r="896" spans="1:2" x14ac:dyDescent="0.2">
      <c r="A896" s="113" t="s">
        <v>665</v>
      </c>
      <c r="B896" s="63" t="s">
        <v>2499</v>
      </c>
    </row>
    <row r="897" spans="1:2" x14ac:dyDescent="0.2">
      <c r="A897" s="113">
        <v>12.5</v>
      </c>
      <c r="B897" s="63" t="s">
        <v>2500</v>
      </c>
    </row>
    <row r="898" spans="1:2" x14ac:dyDescent="0.2">
      <c r="A898" s="113" t="s">
        <v>627</v>
      </c>
      <c r="B898" s="63" t="s">
        <v>2501</v>
      </c>
    </row>
    <row r="899" spans="1:2" x14ac:dyDescent="0.2">
      <c r="A899" s="113" t="s">
        <v>2502</v>
      </c>
      <c r="B899" s="63" t="s">
        <v>2503</v>
      </c>
    </row>
    <row r="900" spans="1:2" x14ac:dyDescent="0.2">
      <c r="A900" s="113" t="s">
        <v>2504</v>
      </c>
      <c r="B900" s="63" t="s">
        <v>2505</v>
      </c>
    </row>
    <row r="901" spans="1:2" x14ac:dyDescent="0.2">
      <c r="A901" s="113" t="s">
        <v>2506</v>
      </c>
      <c r="B901" s="63" t="s">
        <v>2507</v>
      </c>
    </row>
    <row r="902" spans="1:2" x14ac:dyDescent="0.2">
      <c r="A902" s="113" t="s">
        <v>2508</v>
      </c>
      <c r="B902" s="63" t="s">
        <v>2509</v>
      </c>
    </row>
    <row r="903" spans="1:2" x14ac:dyDescent="0.2">
      <c r="A903" s="113">
        <v>12.6</v>
      </c>
      <c r="B903" s="63" t="s">
        <v>2510</v>
      </c>
    </row>
    <row r="904" spans="1:2" x14ac:dyDescent="0.2">
      <c r="A904" s="113" t="s">
        <v>646</v>
      </c>
      <c r="B904" s="63" t="s">
        <v>2511</v>
      </c>
    </row>
    <row r="905" spans="1:2" x14ac:dyDescent="0.2">
      <c r="A905" s="113" t="s">
        <v>1007</v>
      </c>
      <c r="B905" s="63" t="s">
        <v>2512</v>
      </c>
    </row>
    <row r="906" spans="1:2" x14ac:dyDescent="0.2">
      <c r="A906" s="113">
        <v>12.7</v>
      </c>
      <c r="B906" s="63" t="s">
        <v>2513</v>
      </c>
    </row>
    <row r="907" spans="1:2" x14ac:dyDescent="0.2">
      <c r="A907" s="113">
        <v>12.8</v>
      </c>
      <c r="B907" s="63" t="s">
        <v>2514</v>
      </c>
    </row>
    <row r="908" spans="1:2" x14ac:dyDescent="0.2">
      <c r="A908" s="113" t="s">
        <v>2515</v>
      </c>
      <c r="B908" s="63" t="s">
        <v>2516</v>
      </c>
    </row>
    <row r="909" spans="1:2" x14ac:dyDescent="0.2">
      <c r="A909" s="113" t="s">
        <v>2517</v>
      </c>
      <c r="B909" s="63" t="s">
        <v>2518</v>
      </c>
    </row>
    <row r="910" spans="1:2" x14ac:dyDescent="0.2">
      <c r="A910" s="113" t="s">
        <v>2519</v>
      </c>
      <c r="B910" s="63" t="s">
        <v>2520</v>
      </c>
    </row>
    <row r="911" spans="1:2" x14ac:dyDescent="0.2">
      <c r="A911" s="113" t="s">
        <v>2521</v>
      </c>
      <c r="B911" s="63" t="s">
        <v>2522</v>
      </c>
    </row>
    <row r="912" spans="1:2" x14ac:dyDescent="0.2">
      <c r="A912" s="113" t="s">
        <v>2523</v>
      </c>
      <c r="B912" s="63" t="s">
        <v>2524</v>
      </c>
    </row>
    <row r="913" spans="1:2" x14ac:dyDescent="0.2">
      <c r="A913" s="113">
        <v>12.9</v>
      </c>
      <c r="B913" s="63" t="s">
        <v>2525</v>
      </c>
    </row>
    <row r="914" spans="1:2" x14ac:dyDescent="0.2">
      <c r="A914" s="113" t="s">
        <v>2546</v>
      </c>
      <c r="B914" s="63" t="s">
        <v>2526</v>
      </c>
    </row>
    <row r="915" spans="1:2" x14ac:dyDescent="0.2">
      <c r="A915" s="113" t="s">
        <v>2527</v>
      </c>
      <c r="B915" s="63" t="s">
        <v>2528</v>
      </c>
    </row>
    <row r="916" spans="1:2" x14ac:dyDescent="0.2">
      <c r="A916" s="113" t="s">
        <v>2529</v>
      </c>
      <c r="B916" s="63" t="s">
        <v>2530</v>
      </c>
    </row>
    <row r="917" spans="1:2" x14ac:dyDescent="0.2">
      <c r="A917" s="113" t="s">
        <v>2531</v>
      </c>
      <c r="B917" s="63" t="s">
        <v>2532</v>
      </c>
    </row>
    <row r="918" spans="1:2" x14ac:dyDescent="0.2">
      <c r="A918" s="113" t="s">
        <v>2533</v>
      </c>
      <c r="B918" s="63" t="s">
        <v>2534</v>
      </c>
    </row>
    <row r="919" spans="1:2" x14ac:dyDescent="0.2">
      <c r="A919" s="113" t="s">
        <v>2535</v>
      </c>
      <c r="B919" s="63" t="s">
        <v>2536</v>
      </c>
    </row>
    <row r="920" spans="1:2" x14ac:dyDescent="0.2">
      <c r="A920" s="113" t="s">
        <v>2537</v>
      </c>
      <c r="B920" s="63" t="s">
        <v>2538</v>
      </c>
    </row>
    <row r="921" spans="1:2" x14ac:dyDescent="0.2">
      <c r="A921" s="113">
        <v>12.11</v>
      </c>
      <c r="B921" s="63" t="s">
        <v>2539</v>
      </c>
    </row>
    <row r="922" spans="1:2" x14ac:dyDescent="0.2">
      <c r="A922" s="113" t="s">
        <v>2540</v>
      </c>
      <c r="B922" s="63" t="s">
        <v>2541</v>
      </c>
    </row>
    <row r="923" spans="1:2" ht="17" x14ac:dyDescent="0.2">
      <c r="A923" s="107" t="s">
        <v>2105</v>
      </c>
      <c r="B923" s="63" t="s">
        <v>2542</v>
      </c>
    </row>
    <row r="924" spans="1:2" x14ac:dyDescent="0.2">
      <c r="A924" s="108" t="s">
        <v>614</v>
      </c>
      <c r="B924" s="63" t="s">
        <v>2543</v>
      </c>
    </row>
    <row r="925" spans="1:2" x14ac:dyDescent="0.2">
      <c r="A925" s="108" t="s">
        <v>2104</v>
      </c>
      <c r="B925" s="63" t="str">
        <f>CONCATENATE(B923,"; ",B924)</f>
        <v>All system components included in or connected to the cardholder data environment (CDE); The process of determining the CDE and subsequent PCI scope</v>
      </c>
    </row>
    <row r="926" spans="1:2" s="106" customFormat="1" x14ac:dyDescent="0.2">
      <c r="A926" s="108" t="s">
        <v>2112</v>
      </c>
      <c r="B926" s="63" t="str">
        <f>B923</f>
        <v>All system components included in or connected to the cardholder data environment (CDE)</v>
      </c>
    </row>
    <row r="927" spans="1:2" ht="30" x14ac:dyDescent="0.2">
      <c r="A927" s="109" t="s">
        <v>2106</v>
      </c>
      <c r="B927" s="63" t="str">
        <f>CONCATENATE(B914,"; ",B923)</f>
        <v>Implement an incident response plan. Be prepared to respond immediately to a system breach.; All system components included in or connected to the cardholder data environment (CDE)</v>
      </c>
    </row>
    <row r="928" spans="1:2" x14ac:dyDescent="0.2">
      <c r="A928" s="110" t="s">
        <v>2107</v>
      </c>
      <c r="B928" s="6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108" t="s">
        <v>2544</v>
      </c>
      <c r="B929" s="6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10" t="s">
        <v>2111</v>
      </c>
      <c r="B930" s="63" t="str">
        <f>CONCATENATE(B762,"; ",B773)</f>
        <v>Restrict access to cardholder data by business need to know; Assign a unique ID to each person with computer access</v>
      </c>
    </row>
    <row r="931" spans="1:2" x14ac:dyDescent="0.2">
      <c r="A931" s="109" t="s">
        <v>2114</v>
      </c>
      <c r="B931" s="6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09" t="s">
        <v>2117</v>
      </c>
      <c r="B932" s="63" t="str">
        <f>CONCATENATE(B773,"; ",B723)</f>
        <v>Assign a unique ID to each person with computer access; Never send unprotected PANs by end-user messaging technologies (for example, e-mail, instant messaging, SMS, chat, etc.).</v>
      </c>
    </row>
    <row r="933" spans="1:2" ht="75" x14ac:dyDescent="0.2">
      <c r="A933" s="109" t="s">
        <v>2115</v>
      </c>
      <c r="B933" s="6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109" t="s">
        <v>2118</v>
      </c>
      <c r="B934" s="6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109" t="s">
        <v>2119</v>
      </c>
      <c r="B935" s="6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109" t="s">
        <v>2120</v>
      </c>
      <c r="B936" s="6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109" t="s">
        <v>2121</v>
      </c>
      <c r="B937" s="6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111" t="s">
        <v>2122</v>
      </c>
      <c r="B938" s="6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112" t="s">
        <v>2123</v>
      </c>
      <c r="B939" s="6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112" t="s">
        <v>2124</v>
      </c>
      <c r="B940" s="6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111" t="s">
        <v>2125</v>
      </c>
      <c r="B941" s="63" t="str">
        <f>CONCATENATE(B910,"; ",B799)</f>
        <v>Ensure there is an established process for engaging service providers including proper due diligence prior to engagement.; Restrict physical access to cardholder data</v>
      </c>
    </row>
    <row r="942" spans="1:2" ht="17" thickBot="1" x14ac:dyDescent="0.25">
      <c r="A942" s="112" t="s">
        <v>2126</v>
      </c>
      <c r="B942" s="6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111" t="s">
        <v>2128</v>
      </c>
      <c r="B943" s="6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112" t="s">
        <v>2129</v>
      </c>
      <c r="B944" s="6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09" t="s">
        <v>2130</v>
      </c>
      <c r="B945" s="63" t="str">
        <f>CONCATENATE(B881,"; ",B799)</f>
        <v>Establish, publish, maintain, and disseminate a security policy.; Restrict physical access to cardholder data</v>
      </c>
    </row>
    <row r="946" spans="1:2" x14ac:dyDescent="0.2">
      <c r="A946" s="109" t="s">
        <v>2131</v>
      </c>
      <c r="B946" s="63"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109" t="s">
        <v>2133</v>
      </c>
      <c r="B947" s="6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111" t="s">
        <v>2135</v>
      </c>
      <c r="B948" s="6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112" t="s">
        <v>2136</v>
      </c>
      <c r="B949" s="6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109" t="s">
        <v>2137</v>
      </c>
      <c r="B950" s="6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111" t="s">
        <v>2138</v>
      </c>
      <c r="B951" s="6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112" t="s">
        <v>2139</v>
      </c>
      <c r="B952" s="63" t="str">
        <f>CONCATENATE(B762,"; ",B773,"; ",B799)</f>
        <v>Restrict access to cardholder data by business need to know; Assign a unique ID to each person with computer access; Restrict physical access to cardholder data</v>
      </c>
    </row>
    <row r="953" spans="1:2" x14ac:dyDescent="0.2">
      <c r="A953" s="110" t="s">
        <v>2545</v>
      </c>
      <c r="B953" s="63"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109" t="s">
        <v>2141</v>
      </c>
      <c r="B954" s="6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111" t="s">
        <v>2142</v>
      </c>
      <c r="B955" s="6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112" t="s">
        <v>2143</v>
      </c>
      <c r="B956" s="6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109" t="s">
        <v>2144</v>
      </c>
      <c r="B957" s="63" t="str">
        <f>CONCATENATE(B914,"; ",B827)</f>
        <v>Implement an incident response plan. Be prepared to respond immediately to a system breach.; Track and monitor all access to network resources and cardholder data</v>
      </c>
    </row>
    <row r="958" spans="1:2" x14ac:dyDescent="0.2">
      <c r="B958" s="6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activeCell="A956" sqref="A956"/>
      <selection pane="bottomLeft" activeCell="I155" sqref="I155"/>
    </sheetView>
  </sheetViews>
  <sheetFormatPr baseColWidth="10" defaultColWidth="8.625" defaultRowHeight="14" x14ac:dyDescent="0.2"/>
  <cols>
    <col min="1" max="1" width="6" style="71" customWidth="1"/>
    <col min="2" max="2" width="8.625" style="71"/>
    <col min="3" max="3" width="28.5" style="71" customWidth="1"/>
    <col min="4" max="4" width="6.25" style="71" customWidth="1"/>
    <col min="5" max="5" width="6.125" style="71" customWidth="1"/>
    <col min="6" max="6" width="8.625" style="71"/>
    <col min="7" max="7" width="4.125" style="71" customWidth="1"/>
    <col min="8" max="8" width="5.125" style="71" customWidth="1"/>
    <col min="9" max="9" width="3.75" style="71" customWidth="1"/>
    <col min="10" max="10" width="3" style="71" customWidth="1"/>
    <col min="11" max="13" width="9.25" style="71" customWidth="1"/>
    <col min="14" max="14" width="12.125" style="71" customWidth="1"/>
    <col min="15" max="16" width="9.25" style="71" customWidth="1"/>
    <col min="17" max="17" width="11.75" style="71" customWidth="1"/>
    <col min="18" max="18" width="12.25" style="71" bestFit="1" customWidth="1"/>
    <col min="19" max="19" width="12.25" style="71" customWidth="1"/>
    <col min="20" max="25" width="9.75" style="71" customWidth="1"/>
    <col min="26" max="16384" width="8.625" style="71"/>
  </cols>
  <sheetData>
    <row r="1" spans="1:25" ht="76" thickBot="1" x14ac:dyDescent="0.2">
      <c r="A1" s="71" t="s">
        <v>2082</v>
      </c>
      <c r="B1" s="71" t="s">
        <v>2024</v>
      </c>
      <c r="C1" s="71" t="s">
        <v>2025</v>
      </c>
      <c r="D1" s="71" t="s">
        <v>2026</v>
      </c>
      <c r="E1" s="71" t="s">
        <v>2027</v>
      </c>
      <c r="F1" s="71" t="s">
        <v>2045</v>
      </c>
      <c r="G1" s="71" t="s">
        <v>2046</v>
      </c>
      <c r="H1" s="71" t="s">
        <v>2047</v>
      </c>
      <c r="I1" s="71" t="s">
        <v>2048</v>
      </c>
      <c r="J1" s="71" t="s">
        <v>2055</v>
      </c>
      <c r="K1" s="71" t="s">
        <v>2056</v>
      </c>
      <c r="L1" s="71" t="s">
        <v>2051</v>
      </c>
      <c r="M1" s="73" t="s">
        <v>2083</v>
      </c>
      <c r="N1" s="73" t="s">
        <v>561</v>
      </c>
      <c r="O1" s="74" t="s">
        <v>2084</v>
      </c>
      <c r="P1" s="75" t="s">
        <v>564</v>
      </c>
      <c r="Q1" s="74" t="s">
        <v>563</v>
      </c>
      <c r="R1" s="74" t="s">
        <v>562</v>
      </c>
      <c r="S1" s="74" t="s">
        <v>2044</v>
      </c>
      <c r="T1" s="76"/>
      <c r="U1" s="76" t="s">
        <v>2049</v>
      </c>
      <c r="V1" s="76" t="s">
        <v>2050</v>
      </c>
      <c r="W1" s="76" t="s">
        <v>2051</v>
      </c>
      <c r="X1" s="76" t="s">
        <v>2052</v>
      </c>
      <c r="Y1" s="76" t="s">
        <v>2053</v>
      </c>
    </row>
    <row r="2" spans="1:25" ht="61" thickBot="1" x14ac:dyDescent="0.2">
      <c r="A2" s="71">
        <v>1</v>
      </c>
      <c r="B2" s="77" t="s">
        <v>163</v>
      </c>
      <c r="C2" s="78" t="str">
        <f>VLOOKUP(B2,'HECVAT - Full'!A:E,2,FALSE)</f>
        <v>Does your product process protected health information (PHI) or any data covered by the Health Insurance Portability and Accountability Act?</v>
      </c>
      <c r="D2" s="71">
        <f>VLOOKUP(B2,'HECVAT - Full'!A:E,4,FALSE)</f>
        <v>0</v>
      </c>
      <c r="E2" s="79" t="b">
        <v>1</v>
      </c>
      <c r="F2" s="80" t="s">
        <v>11</v>
      </c>
      <c r="G2" s="80" t="s">
        <v>16</v>
      </c>
      <c r="H2" s="81">
        <v>1</v>
      </c>
      <c r="I2" s="71" t="str">
        <f>VLOOKUP(B2,'HECVAT - Full'!A:E,3,FALSE)</f>
        <v>No</v>
      </c>
      <c r="J2" s="71">
        <v>1</v>
      </c>
      <c r="K2" s="71">
        <f>IF(Table1[[#This Row],[Column8]]=1,10,"")</f>
        <v>10</v>
      </c>
      <c r="L2" s="71">
        <f>IF(Table1[[#This Row],[Column8]]=1,J2*K2,"")</f>
        <v>10</v>
      </c>
      <c r="M2" s="72" t="str">
        <f>VLOOKUP($B2,'Standards Crosswalk'!$A:$H,3,FALSE)</f>
        <v>CSC 13</v>
      </c>
      <c r="N2" s="72" t="str">
        <f>VLOOKUP($B2,'Standards Crosswalk'!$A:$H,4,FALSE)</f>
        <v>Discovery</v>
      </c>
      <c r="O2" s="72" t="str">
        <f>VLOOKUP($B2,'Standards Crosswalk'!$A:$H,5,FALSE)</f>
        <v>18.1.1</v>
      </c>
      <c r="P2" s="72" t="str">
        <f>VLOOKUP($B2,'Standards Crosswalk'!$A:$H,6,FALSE)</f>
        <v>ID.GV-3</v>
      </c>
      <c r="Q2" s="72" t="str">
        <f>VLOOKUP($B2,'Standards Crosswalk'!$A:$H,7,FALSE)</f>
        <v>ID.GV-3</v>
      </c>
      <c r="R2" s="72" t="str">
        <f>VLOOKUP($B2,'Standards Crosswalk'!$A:$H,8,FALSE)</f>
        <v>RA-2</v>
      </c>
      <c r="S2" s="72">
        <f>VLOOKUP($B2,'Standards Crosswalk'!$A:$I,9,FALSE)</f>
        <v>0</v>
      </c>
      <c r="T2" s="77" t="s">
        <v>17</v>
      </c>
      <c r="U2" s="82">
        <f>COUNTIFS(B:B,"DOCU*",J:J,"=1")</f>
        <v>3</v>
      </c>
      <c r="V2" s="83">
        <f>COUNTIF(B:B,"DOCU*")</f>
        <v>6</v>
      </c>
      <c r="W2" s="83">
        <f>SUMIFS(L:L,B:B, "DOCU*")</f>
        <v>65</v>
      </c>
      <c r="X2" s="83">
        <f>SUMIFS(K:K,B:B, "DOCU*")</f>
        <v>105</v>
      </c>
      <c r="Y2" s="84">
        <f t="shared" ref="Y2:Y14" si="0">W2/X2</f>
        <v>0.61904761904761907</v>
      </c>
    </row>
    <row r="3" spans="1:25" ht="46" thickBot="1" x14ac:dyDescent="0.2">
      <c r="A3" s="71">
        <f>A2+1</f>
        <v>2</v>
      </c>
      <c r="B3" s="77" t="s">
        <v>164</v>
      </c>
      <c r="C3" s="78" t="str">
        <f>VLOOKUP(B3,'HECVAT - Full'!A:E,2,FALSE)</f>
        <v>Does the vended product host/support a mobile application? (e.g. app)</v>
      </c>
      <c r="D3" s="71">
        <f>VLOOKUP(B3,'HECVAT - Full'!A:E,4,FALSE)</f>
        <v>0</v>
      </c>
      <c r="E3" s="79" t="b">
        <v>0</v>
      </c>
      <c r="F3" s="80" t="s">
        <v>11</v>
      </c>
      <c r="G3" s="80" t="s">
        <v>16</v>
      </c>
      <c r="H3" s="81">
        <v>1</v>
      </c>
      <c r="I3" s="71" t="str">
        <f>VLOOKUP(B3,'HECVAT - Full'!A:E,3,FALSE)</f>
        <v>Yes</v>
      </c>
      <c r="J3" s="71">
        <v>1</v>
      </c>
      <c r="K3" s="71">
        <f>IF(Table1[[#This Row],[Column8]]=1,10,"")</f>
        <v>10</v>
      </c>
      <c r="L3" s="71">
        <f>IF(Table1[[#This Row],[Column8]]=1,J3*K3,"")</f>
        <v>10</v>
      </c>
      <c r="M3" s="72" t="str">
        <f>VLOOKUP($B3,'Standards Crosswalk'!$A:$H,3,FALSE)</f>
        <v>CSC 18</v>
      </c>
      <c r="N3" s="72">
        <f>VLOOKUP($B3,'Standards Crosswalk'!$A:$H,4,FALSE)</f>
        <v>0</v>
      </c>
      <c r="O3" s="72">
        <f>VLOOKUP($B3,'Standards Crosswalk'!$A:$H,5,FALSE)</f>
        <v>0</v>
      </c>
      <c r="P3" s="72">
        <f>VLOOKUP($B3,'Standards Crosswalk'!$A:$H,6,FALSE)</f>
        <v>0</v>
      </c>
      <c r="Q3" s="72">
        <f>VLOOKUP($B3,'Standards Crosswalk'!$A:$H,7,FALSE)</f>
        <v>0</v>
      </c>
      <c r="R3" s="72" t="str">
        <f>VLOOKUP($B3,'Standards Crosswalk'!$A:$H,8,FALSE)</f>
        <v>IA-2, IA-3, CM-3, SI-2</v>
      </c>
      <c r="S3" s="72">
        <f>VLOOKUP($B3,'Standards Crosswalk'!$A:$I,9,FALSE)</f>
        <v>0</v>
      </c>
      <c r="T3" s="77" t="s">
        <v>2054</v>
      </c>
      <c r="U3" s="85">
        <f>COUNTIFS(B:B,"APPL*",J:J,"=1")</f>
        <v>8</v>
      </c>
      <c r="V3" s="83">
        <f>COUNTIF(B:B,"APPL*")</f>
        <v>17</v>
      </c>
      <c r="W3" s="83">
        <f>SUMIFS(L:L,B:B, "APPL*")</f>
        <v>200</v>
      </c>
      <c r="X3" s="83">
        <f>SUMIFS(K:K,B:B, "APPL*")</f>
        <v>375</v>
      </c>
      <c r="Y3" s="84">
        <f t="shared" si="0"/>
        <v>0.53333333333333333</v>
      </c>
    </row>
    <row r="4" spans="1:25" ht="76" thickBot="1" x14ac:dyDescent="0.2">
      <c r="A4" s="71">
        <f t="shared" ref="A4:A67" si="1">A3+1</f>
        <v>3</v>
      </c>
      <c r="B4" s="77" t="s">
        <v>165</v>
      </c>
      <c r="C4" s="78" t="str">
        <f>VLOOKUP(B4,'HECVAT - Full'!A:E,2,FALSE)</f>
        <v>Will institution data be shared with or hosted by any third parties? (e.g. any entity not wholly-owned by your company is considered a third-party)</v>
      </c>
      <c r="D4" s="71">
        <f>VLOOKUP(B4,'HECVAT - Full'!A:E,4,FALSE)</f>
        <v>0</v>
      </c>
      <c r="E4" s="79" t="b">
        <v>1</v>
      </c>
      <c r="F4" s="80" t="s">
        <v>11</v>
      </c>
      <c r="G4" s="80" t="s">
        <v>19</v>
      </c>
      <c r="H4" s="81">
        <v>1</v>
      </c>
      <c r="I4" s="71" t="str">
        <f>VLOOKUP(B4,'HECVAT - Full'!A:E,3,FALSE)</f>
        <v>Yes</v>
      </c>
      <c r="J4" s="71">
        <v>1</v>
      </c>
      <c r="K4" s="71">
        <f>IF(Table1[[#This Row],[Column8]]=1,10,"")</f>
        <v>10</v>
      </c>
      <c r="L4" s="71">
        <f>IF(Table1[[#This Row],[Column8]]=1,J4*K4,"")</f>
        <v>10</v>
      </c>
      <c r="M4" s="72" t="str">
        <f>VLOOKUP($B4,'Standards Crosswalk'!$A:$H,3,FALSE)</f>
        <v>CSC 13</v>
      </c>
      <c r="N4" s="72">
        <f>VLOOKUP($B4,'Standards Crosswalk'!$A:$H,4,FALSE)</f>
        <v>0</v>
      </c>
      <c r="O4" s="72">
        <f>VLOOKUP($B4,'Standards Crosswalk'!$A:$H,5,FALSE)</f>
        <v>0</v>
      </c>
      <c r="P4" s="72" t="str">
        <f>VLOOKUP($B4,'Standards Crosswalk'!$A:$H,6,FALSE)</f>
        <v>ID.AM-6, PR.AT-3</v>
      </c>
      <c r="Q4" s="72" t="str">
        <f>VLOOKUP($B4,'Standards Crosswalk'!$A:$H,7,FALSE)</f>
        <v>ID.AM-6, PR.AT-3</v>
      </c>
      <c r="R4" s="72">
        <f>VLOOKUP($B4,'Standards Crosswalk'!$A:$H,8,FALSE)</f>
        <v>0</v>
      </c>
      <c r="S4" s="72">
        <f>VLOOKUP($B4,'Standards Crosswalk'!$A:$I,9,FALSE)</f>
        <v>12.8</v>
      </c>
      <c r="T4" s="77" t="s">
        <v>2029</v>
      </c>
      <c r="U4" s="85">
        <f>COUNTIFS(B:B,"AAAI*",J:J,"=1")</f>
        <v>4</v>
      </c>
      <c r="V4" s="83">
        <f>COUNTIF(B:B,"AAAI*")</f>
        <v>17</v>
      </c>
      <c r="W4" s="83">
        <f>SUMIFS(L:L,B:B, "AAAI*")</f>
        <v>110</v>
      </c>
      <c r="X4" s="83">
        <f>SUMIFS(K:K,B:B, "AAAI*")</f>
        <v>365</v>
      </c>
      <c r="Y4" s="84">
        <f t="shared" si="0"/>
        <v>0.30136986301369861</v>
      </c>
    </row>
    <row r="5" spans="1:25" ht="46" thickBot="1" x14ac:dyDescent="0.2">
      <c r="A5" s="71">
        <f t="shared" si="1"/>
        <v>4</v>
      </c>
      <c r="B5" s="77" t="s">
        <v>166</v>
      </c>
      <c r="C5" s="78" t="str">
        <f>VLOOKUP(B5,'HECVAT - Full'!A:E,2,FALSE)</f>
        <v>Do you have a Business Continuity Plan (BCP)?</v>
      </c>
      <c r="D5" s="71">
        <f>VLOOKUP(B5,'HECVAT - Full'!A:E,4,FALSE)</f>
        <v>0</v>
      </c>
      <c r="E5" s="79" t="b">
        <v>1</v>
      </c>
      <c r="F5" s="80" t="s">
        <v>11</v>
      </c>
      <c r="G5" s="80" t="s">
        <v>16</v>
      </c>
      <c r="H5" s="81">
        <v>1</v>
      </c>
      <c r="I5" s="71" t="str">
        <f>VLOOKUP(B5,'HECVAT - Full'!A:E,3,FALSE)</f>
        <v>Yes</v>
      </c>
      <c r="J5" s="71">
        <v>1</v>
      </c>
      <c r="K5" s="71">
        <f>IF(Table1[[#This Row],[Column8]]=1,10,"")</f>
        <v>10</v>
      </c>
      <c r="L5" s="71">
        <f>IF(Table1[[#This Row],[Column8]]=1,J5*K5,"")</f>
        <v>10</v>
      </c>
      <c r="M5" s="72" t="str">
        <f>VLOOKUP($B5,'Standards Crosswalk'!$A:$H,3,FALSE)</f>
        <v>CSC 10</v>
      </c>
      <c r="N5" s="72">
        <f>VLOOKUP($B5,'Standards Crosswalk'!$A:$H,4,FALSE)</f>
        <v>0</v>
      </c>
      <c r="O5" s="72" t="str">
        <f>VLOOKUP($B5,'Standards Crosswalk'!$A:$H,5,FALSE)</f>
        <v>17.1.2</v>
      </c>
      <c r="P5" s="72" t="str">
        <f>VLOOKUP($B5,'Standards Crosswalk'!$A:$H,6,FALSE)</f>
        <v>PR.IP-9</v>
      </c>
      <c r="Q5" s="72" t="str">
        <f>VLOOKUP($B5,'Standards Crosswalk'!$A:$H,7,FALSE)</f>
        <v>PR.IP-9</v>
      </c>
      <c r="R5" s="72" t="str">
        <f>VLOOKUP($B5,'Standards Crosswalk'!$A:$H,8,FALSE)</f>
        <v>AU-7, AU-9, IR-4</v>
      </c>
      <c r="S5" s="72">
        <f>VLOOKUP($B5,'Standards Crosswalk'!$A:$I,9,FALSE)</f>
        <v>12.1</v>
      </c>
      <c r="T5" s="86" t="s">
        <v>2031</v>
      </c>
      <c r="U5" s="85">
        <f>COUNTIFS(B:B,"CHNG*",J:J,"=1")</f>
        <v>8</v>
      </c>
      <c r="V5" s="83">
        <f>COUNTIF(B:B,"CHNG*")</f>
        <v>15</v>
      </c>
      <c r="W5" s="83">
        <f>SUMIFS(L:L,B:B, "CHNG*")</f>
        <v>155</v>
      </c>
      <c r="X5" s="83">
        <f>SUMIFS(K:K,B:B, "CHNG*")</f>
        <v>275</v>
      </c>
      <c r="Y5" s="84">
        <f t="shared" si="0"/>
        <v>0.5636363636363636</v>
      </c>
    </row>
    <row r="6" spans="1:25" ht="16" thickBot="1" x14ac:dyDescent="0.2">
      <c r="A6" s="116"/>
      <c r="B6" s="117"/>
      <c r="C6" s="118"/>
      <c r="D6" s="116"/>
      <c r="E6" s="119"/>
      <c r="F6" s="120"/>
      <c r="G6" s="121"/>
      <c r="H6" s="122"/>
      <c r="I6" s="116"/>
      <c r="J6" s="116"/>
      <c r="K6" s="116"/>
      <c r="L6" s="116"/>
      <c r="M6" s="123"/>
      <c r="N6" s="123">
        <f>VLOOKUP($B7,'Standards Crosswalk'!$A:$H,4,FALSE)</f>
        <v>0</v>
      </c>
      <c r="O6" s="123"/>
      <c r="P6" s="123"/>
      <c r="Q6" s="123"/>
      <c r="R6" s="123"/>
      <c r="S6" s="123"/>
      <c r="T6" s="97" t="s">
        <v>2555</v>
      </c>
      <c r="U6" s="85">
        <f>COUNTIFS(B:B,"COMP*",J:J,"=1")</f>
        <v>3</v>
      </c>
      <c r="V6" s="83">
        <f>COUNTIF(B:B,"COMP*")</f>
        <v>7</v>
      </c>
      <c r="W6" s="83">
        <f>SUMIFS(L:L,B:B, "COMP*")</f>
        <v>50</v>
      </c>
      <c r="X6" s="83">
        <f>SUMIFS(K:K,B:B, "COMP*")</f>
        <v>120</v>
      </c>
      <c r="Y6" s="84">
        <f t="shared" ref="Y6" si="2">W6/X6</f>
        <v>0.41666666666666669</v>
      </c>
    </row>
    <row r="7" spans="1:25" ht="31" thickBot="1" x14ac:dyDescent="0.2">
      <c r="A7" s="71">
        <f>A5+1</f>
        <v>5</v>
      </c>
      <c r="B7" s="77" t="s">
        <v>167</v>
      </c>
      <c r="C7" s="78" t="str">
        <f>VLOOKUP(B7,'HECVAT - Full'!A:E,2,FALSE)</f>
        <v>Do you have a Disaster Recovery Plan (DRP)?</v>
      </c>
      <c r="D7" s="71">
        <f>VLOOKUP(B7,'HECVAT - Full'!A:E,4,FALSE)</f>
        <v>0</v>
      </c>
      <c r="E7" s="79" t="b">
        <v>1</v>
      </c>
      <c r="F7" s="80" t="s">
        <v>11</v>
      </c>
      <c r="G7" s="80" t="s">
        <v>16</v>
      </c>
      <c r="H7" s="81">
        <v>1</v>
      </c>
      <c r="I7" s="71" t="str">
        <f>VLOOKUP(B7,'HECVAT - Full'!A:E,3,FALSE)</f>
        <v>Yes</v>
      </c>
      <c r="J7" s="71">
        <v>1</v>
      </c>
      <c r="K7" s="71">
        <f>IF(Table1[[#This Row],[Column8]]=1,10,"")</f>
        <v>10</v>
      </c>
      <c r="L7" s="71">
        <f>IF(Table1[[#This Row],[Column8]]=1,J7*K7,"")</f>
        <v>10</v>
      </c>
      <c r="M7" s="72" t="str">
        <f>VLOOKUP($B7,'Standards Crosswalk'!$A:$H,3,FALSE)</f>
        <v>CSC 10</v>
      </c>
      <c r="N7" s="72">
        <f>VLOOKUP($B7,'Standards Crosswalk'!$A:$H,4,FALSE)</f>
        <v>0</v>
      </c>
      <c r="O7" s="72" t="str">
        <f>VLOOKUP($B7,'Standards Crosswalk'!$A:$H,5,FALSE)</f>
        <v>17.1.2</v>
      </c>
      <c r="P7" s="72" t="str">
        <f>VLOOKUP($B7,'Standards Crosswalk'!$A:$H,6,FALSE)</f>
        <v>PR.IP-9</v>
      </c>
      <c r="Q7" s="72" t="str">
        <f>VLOOKUP($B7,'Standards Crosswalk'!$A:$H,7,FALSE)</f>
        <v>PR.IP-9</v>
      </c>
      <c r="R7" s="72" t="str">
        <f>VLOOKUP($B7,'Standards Crosswalk'!$A:$H,8,FALSE)</f>
        <v>CA-5, PL-2</v>
      </c>
      <c r="S7" s="72">
        <f>VLOOKUP($B7,'Standards Crosswalk'!$A:$I,9,FALSE)</f>
        <v>12.1</v>
      </c>
      <c r="T7" s="77" t="s">
        <v>2032</v>
      </c>
      <c r="U7" s="87">
        <f>COUNTIFS(B:B,"DATA*",J:J,"=1")</f>
        <v>18</v>
      </c>
      <c r="V7" s="88">
        <f>COUNTIF(B:B,"DATA*")</f>
        <v>27</v>
      </c>
      <c r="W7" s="88">
        <f>SUMIFS(L:L,B:B, "DATA*")</f>
        <v>390</v>
      </c>
      <c r="X7" s="88">
        <f>SUMIFS(K:K,B:B, "DATA*")</f>
        <v>565</v>
      </c>
      <c r="Y7" s="89">
        <f t="shared" si="0"/>
        <v>0.69026548672566368</v>
      </c>
    </row>
    <row r="8" spans="1:25" ht="31" thickBot="1" x14ac:dyDescent="0.2">
      <c r="A8" s="71">
        <f t="shared" si="1"/>
        <v>6</v>
      </c>
      <c r="B8" s="77" t="s">
        <v>168</v>
      </c>
      <c r="C8" s="78" t="str">
        <f>VLOOKUP(B8,'HECVAT - Full'!A:E,2,FALSE)</f>
        <v>Will data regulated by PCI DSS reside in the vended product?</v>
      </c>
      <c r="D8" s="71">
        <f>VLOOKUP(B8,'HECVAT - Full'!A:E,4,FALSE)</f>
        <v>0</v>
      </c>
      <c r="E8" s="79" t="b">
        <v>1</v>
      </c>
      <c r="F8" s="80" t="s">
        <v>11</v>
      </c>
      <c r="G8" s="80" t="s">
        <v>19</v>
      </c>
      <c r="H8" s="81">
        <v>1</v>
      </c>
      <c r="I8" s="71" t="str">
        <f>VLOOKUP(B8,'HECVAT - Full'!A:E,3,FALSE)</f>
        <v>No</v>
      </c>
      <c r="J8" s="71">
        <v>1</v>
      </c>
      <c r="K8" s="71">
        <f>IF(Table1[[#This Row],[Column8]]=1,10,"")</f>
        <v>10</v>
      </c>
      <c r="L8" s="71">
        <f>IF(Table1[[#This Row],[Column8]]=1,J8*K8,"")</f>
        <v>10</v>
      </c>
      <c r="M8" s="72" t="str">
        <f>VLOOKUP($B8,'Standards Crosswalk'!$A:$H,3,FALSE)</f>
        <v>CSC 13</v>
      </c>
      <c r="N8" s="72">
        <f>VLOOKUP($B8,'Standards Crosswalk'!$A:$H,4,FALSE)</f>
        <v>0</v>
      </c>
      <c r="O8" s="72" t="str">
        <f>VLOOKUP($B8,'Standards Crosswalk'!$A:$H,5,FALSE)</f>
        <v>18.1.1</v>
      </c>
      <c r="P8" s="72" t="str">
        <f>VLOOKUP($B8,'Standards Crosswalk'!$A:$H,6,FALSE)</f>
        <v>ID.GV-3</v>
      </c>
      <c r="Q8" s="72" t="str">
        <f>VLOOKUP($B8,'Standards Crosswalk'!$A:$H,7,FALSE)</f>
        <v>ID.GV-3</v>
      </c>
      <c r="R8" s="72" t="str">
        <f>VLOOKUP($B8,'Standards Crosswalk'!$A:$H,8,FALSE)</f>
        <v>RA-2</v>
      </c>
      <c r="S8" s="72" t="str">
        <f>VLOOKUP($B8,'Standards Crosswalk'!$A:$I,9,FALSE)</f>
        <v>PCI Scope, Discovery</v>
      </c>
      <c r="T8" s="73" t="s">
        <v>2033</v>
      </c>
      <c r="U8" s="85">
        <f>COUNTIFS(B:B,"DBAS*",J:J,"=1")</f>
        <v>2</v>
      </c>
      <c r="V8" s="83">
        <f>COUNTIF(B:B,"DBAS*")</f>
        <v>2</v>
      </c>
      <c r="W8" s="83">
        <f>SUMIFS(L:L,B:B, "DBAS*")</f>
        <v>50</v>
      </c>
      <c r="X8" s="83">
        <f>SUMIFS(K:K,B:B, "DBAS*")</f>
        <v>50</v>
      </c>
      <c r="Y8" s="84">
        <f t="shared" si="0"/>
        <v>1</v>
      </c>
    </row>
    <row r="9" spans="1:25" ht="46" thickBot="1" x14ac:dyDescent="0.2">
      <c r="A9" s="71">
        <f t="shared" si="1"/>
        <v>7</v>
      </c>
      <c r="B9" s="77" t="s">
        <v>169</v>
      </c>
      <c r="C9" s="78" t="str">
        <f>VLOOKUP(B9,'HECVAT - Full'!A:E,2,FALSE)</f>
        <v>Is your company a consulting firm providing only consultation to the Institution?</v>
      </c>
      <c r="D9" s="71">
        <f>VLOOKUP(B9,'HECVAT - Full'!A:E,4,FALSE)</f>
        <v>0</v>
      </c>
      <c r="E9" s="79" t="b">
        <v>0</v>
      </c>
      <c r="F9" s="80" t="s">
        <v>11</v>
      </c>
      <c r="G9" s="80" t="s">
        <v>16</v>
      </c>
      <c r="H9" s="81">
        <v>1</v>
      </c>
      <c r="I9" s="71" t="str">
        <f>VLOOKUP(B9,'HECVAT - Full'!A:E,3,FALSE)</f>
        <v>No</v>
      </c>
      <c r="J9" s="71">
        <v>1</v>
      </c>
      <c r="K9" s="71">
        <f>IF(Table1[[#This Row],[Column8]]=1,10,"")</f>
        <v>10</v>
      </c>
      <c r="L9" s="71">
        <f>IF(Table1[[#This Row],[Column8]]=1,J9*K9,"")</f>
        <v>10</v>
      </c>
      <c r="M9" s="72" t="str">
        <f>VLOOKUP($B9,'Standards Crosswalk'!$A:$H,3,FALSE)</f>
        <v>CSC 14</v>
      </c>
      <c r="N9" s="72">
        <f>VLOOKUP($B9,'Standards Crosswalk'!$A:$H,4,FALSE)</f>
        <v>0</v>
      </c>
      <c r="O9" s="72">
        <f>VLOOKUP($B9,'Standards Crosswalk'!$A:$H,5,FALSE)</f>
        <v>0</v>
      </c>
      <c r="P9" s="72">
        <f>VLOOKUP($B9,'Standards Crosswalk'!$A:$H,6,FALSE)</f>
        <v>0</v>
      </c>
      <c r="Q9" s="72">
        <f>VLOOKUP($B9,'Standards Crosswalk'!$A:$H,7,FALSE)</f>
        <v>0</v>
      </c>
      <c r="R9" s="72">
        <f>VLOOKUP($B9,'Standards Crosswalk'!$A:$H,8,FALSE)</f>
        <v>0</v>
      </c>
      <c r="S9" s="72" t="str">
        <f>VLOOKUP($B9,'Standards Crosswalk'!$A:$I,9,FALSE)</f>
        <v>PCI Scope</v>
      </c>
      <c r="T9" s="73" t="s">
        <v>2034</v>
      </c>
      <c r="U9" s="85">
        <f>COUNTIFS(B:B,"DCTR*",J:J,"=1")</f>
        <v>11</v>
      </c>
      <c r="V9" s="83">
        <f>COUNTIF(B:B,"DCTR*")</f>
        <v>18</v>
      </c>
      <c r="W9" s="83">
        <f>SUMIFS(L:L,B:B, "DCTR*")</f>
        <v>220</v>
      </c>
      <c r="X9" s="83">
        <f>SUMIFS(K:K,B:B, "DCTR*")</f>
        <v>310</v>
      </c>
      <c r="Y9" s="84">
        <f t="shared" si="0"/>
        <v>0.70967741935483875</v>
      </c>
    </row>
    <row r="10" spans="1:25" ht="301" thickBot="1" x14ac:dyDescent="0.2">
      <c r="A10" s="71">
        <f t="shared" si="1"/>
        <v>8</v>
      </c>
      <c r="B10" s="77" t="s">
        <v>170</v>
      </c>
      <c r="C10" s="78" t="str">
        <f>VLOOKUP(B10,'HECVAT - Full'!A:E,2,FALSE)</f>
        <v>Have you undergone a SSAE 18 audit?</v>
      </c>
      <c r="D10" s="71" t="str">
        <f>VLOOKUP(B10,'HECVAT - Full'!A:E,4,FALSE)</f>
        <v>We run our service in AWS. Their compliance adherence can be downloaded here: https://aws.amazon.com/compliance/</v>
      </c>
      <c r="E10" s="79" t="b">
        <f>IF(Table1[[#This Row],[Column11]]&gt;20,TRUE,FALSE)</f>
        <v>0</v>
      </c>
      <c r="F10" s="79" t="s">
        <v>17</v>
      </c>
      <c r="G10" s="80" t="s">
        <v>16</v>
      </c>
      <c r="H10" s="81">
        <v>1</v>
      </c>
      <c r="I10" s="71" t="str">
        <f>VLOOKUP(B10,'HECVAT - Full'!A:E,3,FALSE)</f>
        <v>No</v>
      </c>
      <c r="J10" s="71">
        <f>IF(Table1[[#This Row],[Column7]]=Table1[[#This Row],[Column9]],1,0)</f>
        <v>0</v>
      </c>
      <c r="K10" s="71">
        <f>IF(Table1[[#This Row],[Column8]]=1,15,"")</f>
        <v>15</v>
      </c>
      <c r="L10" s="71">
        <f>IF(Table1[[#This Row],[Column8]]=1,J10*K10,"")</f>
        <v>0</v>
      </c>
      <c r="M10" s="72">
        <f>VLOOKUP($B10,'Standards Crosswalk'!$A:$H,3,FALSE)</f>
        <v>0</v>
      </c>
      <c r="N10" s="72">
        <f>VLOOKUP($B10,'Standards Crosswalk'!$A:$H,4,FALSE)</f>
        <v>0</v>
      </c>
      <c r="O10" s="72" t="str">
        <f>VLOOKUP($B10,'Standards Crosswalk'!$A:$H,5,FALSE)</f>
        <v>15.2.1</v>
      </c>
      <c r="P10" s="72">
        <f>VLOOKUP($B10,'Standards Crosswalk'!$A:$H,6,FALSE)</f>
        <v>0</v>
      </c>
      <c r="Q10" s="72">
        <f>VLOOKUP($B10,'Standards Crosswalk'!$A:$H,7,FALSE)</f>
        <v>0</v>
      </c>
      <c r="R10" s="72" t="str">
        <f>VLOOKUP($B10,'Standards Crosswalk'!$A:$H,8,FALSE)</f>
        <v>SA-9</v>
      </c>
      <c r="S10" s="72">
        <f>VLOOKUP($B10,'Standards Crosswalk'!$A:$I,9,FALSE)</f>
        <v>0</v>
      </c>
      <c r="T10" s="73" t="s">
        <v>2036</v>
      </c>
      <c r="U10" s="85">
        <f>COUNTIFS(B:B,"FIDP*",J:J,"=1")</f>
        <v>5</v>
      </c>
      <c r="V10" s="83">
        <f>COUNTIF(B:B,"FIDP*")</f>
        <v>12</v>
      </c>
      <c r="W10" s="83">
        <f>SUMIFS(L:L,B:B, "FIDP*")</f>
        <v>110</v>
      </c>
      <c r="X10" s="83">
        <f>SUMIFS(K:K,B:B, "FIDP*")</f>
        <v>265</v>
      </c>
      <c r="Y10" s="84">
        <f t="shared" si="0"/>
        <v>0.41509433962264153</v>
      </c>
    </row>
    <row r="11" spans="1:25" ht="343" thickBot="1" x14ac:dyDescent="0.2">
      <c r="A11" s="71">
        <f t="shared" si="1"/>
        <v>9</v>
      </c>
      <c r="B11" s="77" t="s">
        <v>171</v>
      </c>
      <c r="C11" s="78" t="str">
        <f>VLOOKUP(B11,'HECVAT - Full'!A:E,2,FALSE)</f>
        <v>Have you completed the Cloud Security Alliance (CSA) self assessment or CAIQ?</v>
      </c>
      <c r="D11" s="71" t="str">
        <f>VLOOKUP(B11,'HECVAT - Full'!A:E,4,FALSE)</f>
        <v>Our AWS service provider has completed CSA self assessment and CAIQ, with results visible here: https://aws.amazon.com/compliance/csa/</v>
      </c>
      <c r="E11" s="79" t="b">
        <f>IF(Table1[[#This Row],[Column11]]&gt;20,TRUE,FALSE)</f>
        <v>0</v>
      </c>
      <c r="F11" s="79" t="s">
        <v>17</v>
      </c>
      <c r="G11" s="80" t="s">
        <v>16</v>
      </c>
      <c r="H11" s="81">
        <v>1</v>
      </c>
      <c r="I11" s="71" t="str">
        <f>VLOOKUP(B11,'HECVAT - Full'!A:E,3,FALSE)</f>
        <v>No</v>
      </c>
      <c r="J11" s="71">
        <f>IF(Table1[[#This Row],[Column7]]=Table1[[#This Row],[Column9]],1,0)</f>
        <v>0</v>
      </c>
      <c r="K11" s="71">
        <f>IF(Table1[[#This Row],[Column8]]=1,10,"")</f>
        <v>10</v>
      </c>
      <c r="L11" s="71">
        <f>IF(Table1[[#This Row],[Column8]]=1,J11*K11,"")</f>
        <v>0</v>
      </c>
      <c r="M11" s="72">
        <f>VLOOKUP($B11,'Standards Crosswalk'!$A:$H,3,FALSE)</f>
        <v>0</v>
      </c>
      <c r="N11" s="72">
        <f>VLOOKUP($B11,'Standards Crosswalk'!$A:$H,4,FALSE)</f>
        <v>0</v>
      </c>
      <c r="O11" s="72" t="str">
        <f>VLOOKUP($B11,'Standards Crosswalk'!$A:$H,5,FALSE)</f>
        <v>15.2.1</v>
      </c>
      <c r="P11" s="72">
        <f>VLOOKUP($B11,'Standards Crosswalk'!$A:$H,6,FALSE)</f>
        <v>0</v>
      </c>
      <c r="Q11" s="72">
        <f>VLOOKUP($B11,'Standards Crosswalk'!$A:$H,7,FALSE)</f>
        <v>0</v>
      </c>
      <c r="R11" s="72" t="str">
        <f>VLOOKUP($B11,'Standards Crosswalk'!$A:$H,8,FALSE)</f>
        <v>PE-2, PE-3, PE-5, PE-11, PE-13, PE-14, SA-9</v>
      </c>
      <c r="S11" s="72">
        <f>VLOOKUP($B11,'Standards Crosswalk'!$A:$I,9,FALSE)</f>
        <v>0</v>
      </c>
      <c r="T11" s="73" t="s">
        <v>2038</v>
      </c>
      <c r="U11" s="85">
        <f>COUNTIFS(B:B,"PHYS*",J:J,"=1")</f>
        <v>4</v>
      </c>
      <c r="V11" s="83">
        <f>COUNTIF(B:B,"PHYS*")</f>
        <v>5</v>
      </c>
      <c r="W11" s="83">
        <f>SUMIFS(L:L,B:B, "PHYS*")</f>
        <v>75</v>
      </c>
      <c r="X11" s="83">
        <f>SUMIFS(K:K,B:B, "PHYS*")</f>
        <v>100</v>
      </c>
      <c r="Y11" s="84">
        <f t="shared" si="0"/>
        <v>0.75</v>
      </c>
    </row>
    <row r="12" spans="1:25" ht="271" thickBot="1" x14ac:dyDescent="0.2">
      <c r="A12" s="71">
        <f t="shared" si="1"/>
        <v>10</v>
      </c>
      <c r="B12" s="77" t="s">
        <v>172</v>
      </c>
      <c r="C12" s="78" t="str">
        <f>VLOOKUP(B12,'HECVAT - Full'!A:E,2,FALSE)</f>
        <v>Have you received the Cloud Security Alliance STAR certification?</v>
      </c>
      <c r="D12" s="71" t="str">
        <f>VLOOKUP(B12,'HECVAT - Full'!A:E,4,FALSE)</f>
        <v>Our AWS service provider has received the STAR certification, detailed here: https://aws.amazon.com/compliance/csa/</v>
      </c>
      <c r="E12" s="79" t="b">
        <f>IF(Table1[[#This Row],[Column11]]&gt;20,TRUE,FALSE)</f>
        <v>0</v>
      </c>
      <c r="F12" s="79" t="s">
        <v>17</v>
      </c>
      <c r="G12" s="80" t="s">
        <v>16</v>
      </c>
      <c r="H12" s="81">
        <v>1</v>
      </c>
      <c r="I12" s="71" t="str">
        <f>VLOOKUP(B12,'HECVAT - Full'!A:E,3,FALSE)</f>
        <v>No</v>
      </c>
      <c r="J12" s="71">
        <f>IF(Table1[[#This Row],[Column7]]=Table1[[#This Row],[Column9]],1,0)</f>
        <v>0</v>
      </c>
      <c r="K12" s="71">
        <f>IF(Table1[[#This Row],[Column8]]=1,15,"")</f>
        <v>15</v>
      </c>
      <c r="L12" s="71">
        <f>IF(Table1[[#This Row],[Column8]]=1,J12*K12,"")</f>
        <v>0</v>
      </c>
      <c r="M12" s="72">
        <f>VLOOKUP($B12,'Standards Crosswalk'!$A:$H,3,FALSE)</f>
        <v>0</v>
      </c>
      <c r="N12" s="72">
        <f>VLOOKUP($B12,'Standards Crosswalk'!$A:$H,4,FALSE)</f>
        <v>0</v>
      </c>
      <c r="O12" s="72" t="str">
        <f>VLOOKUP($B12,'Standards Crosswalk'!$A:$H,5,FALSE)</f>
        <v>15.2.1</v>
      </c>
      <c r="P12" s="72">
        <f>VLOOKUP($B12,'Standards Crosswalk'!$A:$H,6,FALSE)</f>
        <v>0</v>
      </c>
      <c r="Q12" s="72">
        <f>VLOOKUP($B12,'Standards Crosswalk'!$A:$H,7,FALSE)</f>
        <v>0</v>
      </c>
      <c r="R12" s="72" t="str">
        <f>VLOOKUP($B12,'Standards Crosswalk'!$A:$H,8,FALSE)</f>
        <v>PE-2, PE-3, PE-5, PE-11, PE-13, PE-14, SA-9</v>
      </c>
      <c r="S12" s="72">
        <f>VLOOKUP($B12,'Standards Crosswalk'!$A:$I,9,FALSE)</f>
        <v>0</v>
      </c>
      <c r="T12" s="73" t="s">
        <v>2039</v>
      </c>
      <c r="U12" s="85">
        <f>COUNTIFS(B:B,"PPPR*",J:J,"=1")</f>
        <v>18</v>
      </c>
      <c r="V12" s="83">
        <f>COUNTIF(B:B,"PPPR*")</f>
        <v>20</v>
      </c>
      <c r="W12" s="83">
        <f>SUMIFS(L:L,B:B, "PPPR*")</f>
        <v>380</v>
      </c>
      <c r="X12" s="83">
        <f>SUMIFS(K:K,B:B, "PPPR*")</f>
        <v>420</v>
      </c>
      <c r="Y12" s="84">
        <f t="shared" si="0"/>
        <v>0.90476190476190477</v>
      </c>
    </row>
    <row r="13" spans="1:25" ht="409.6" thickBot="1" x14ac:dyDescent="0.2">
      <c r="A13" s="71">
        <f t="shared" si="1"/>
        <v>11</v>
      </c>
      <c r="B13" s="77" t="s">
        <v>173</v>
      </c>
      <c r="C13" s="78" t="str">
        <f>VLOOKUP(B13,'HECVAT - Full'!A:E,2,FALSE)</f>
        <v>Do you conform with a specific industry standard security framework? (e.g. NIST Cybersecurity Framework, ISO 27001, etc.)</v>
      </c>
      <c r="D13" s="71" t="str">
        <f>VLOOKUP(B13,'HECVAT - Full'!A:E,4,FALSE)</f>
        <v>All systems are run in environments or tools where Amazon Web Services has run audits or achieved certifications for SOC 1, SOC 2, SOC 3, ISO 9001, ISO 27001, ISO 27017, ISO 27018, as is best practice for FERPA compliance on AWS</v>
      </c>
      <c r="E13" s="79" t="b">
        <f>IF(Table1[[#This Row],[Column11]]&gt;20,TRUE,FALSE)</f>
        <v>1</v>
      </c>
      <c r="F13" s="79" t="s">
        <v>17</v>
      </c>
      <c r="G13" s="80" t="s">
        <v>16</v>
      </c>
      <c r="H13" s="81">
        <v>1</v>
      </c>
      <c r="I13" s="71" t="str">
        <f>VLOOKUP(B13,'HECVAT - Full'!A:E,3,FALSE)</f>
        <v>Yes</v>
      </c>
      <c r="J13" s="71">
        <f>IF(Table1[[#This Row],[Column7]]=Table1[[#This Row],[Column9]],1,0)</f>
        <v>1</v>
      </c>
      <c r="K13" s="71">
        <f>IF(Table1[[#This Row],[Column8]]=1,25,"")</f>
        <v>25</v>
      </c>
      <c r="L13" s="71">
        <f>IF(Table1[[#This Row],[Column8]]=1,J13*K13,"")</f>
        <v>25</v>
      </c>
      <c r="M13" s="72">
        <f>VLOOKUP($B13,'Standards Crosswalk'!$A:$H,3,FALSE)</f>
        <v>0</v>
      </c>
      <c r="N13" s="72">
        <f>VLOOKUP($B13,'Standards Crosswalk'!$A:$H,4,FALSE)</f>
        <v>0</v>
      </c>
      <c r="O13" s="72" t="str">
        <f>VLOOKUP($B13,'Standards Crosswalk'!$A:$H,5,FALSE)</f>
        <v>18.1.1</v>
      </c>
      <c r="P13" s="72">
        <f>VLOOKUP($B13,'Standards Crosswalk'!$A:$H,6,FALSE)</f>
        <v>0</v>
      </c>
      <c r="Q13" s="72">
        <f>VLOOKUP($B13,'Standards Crosswalk'!$A:$H,7,FALSE)</f>
        <v>0</v>
      </c>
      <c r="R13" s="72" t="str">
        <f>VLOOKUP($B13,'Standards Crosswalk'!$A:$H,8,FALSE)</f>
        <v>SA-9</v>
      </c>
      <c r="S13" s="72" t="str">
        <f>VLOOKUP($B13,'Standards Crosswalk'!$A:$I,9,FALSE)</f>
        <v>12.1, Scope</v>
      </c>
      <c r="T13" s="73" t="s">
        <v>2042</v>
      </c>
      <c r="U13" s="85">
        <f>COUNTIFS(B:B,"SYST*",J:J,"=1")</f>
        <v>1</v>
      </c>
      <c r="V13" s="83">
        <f>COUNTIF(B:B,"SYST*")</f>
        <v>4</v>
      </c>
      <c r="W13" s="83">
        <f>SUMIFS(L:L,B:B, "SYST*")</f>
        <v>20</v>
      </c>
      <c r="X13" s="83">
        <f>SUMIFS(K:K,B:B, "SYST*")</f>
        <v>70</v>
      </c>
      <c r="Y13" s="84">
        <f t="shared" si="0"/>
        <v>0.2857142857142857</v>
      </c>
    </row>
    <row r="14" spans="1:25" ht="357" thickBot="1" x14ac:dyDescent="0.2">
      <c r="A14" s="71">
        <f t="shared" si="1"/>
        <v>12</v>
      </c>
      <c r="B14" s="77" t="s">
        <v>174</v>
      </c>
      <c r="C14" s="78" t="str">
        <f>VLOOKUP(B14,'HECVAT - Full'!A:E,2,FALSE)</f>
        <v>Are you compliant with FISMA standards?</v>
      </c>
      <c r="D14" s="71" t="str">
        <f>VLOOKUP(B14,'HECVAT - Full'!A:E,4,FALSE)</f>
        <v>Pronto's cloud provider, AWS, has achieved FISMA Moderate Authorization and Accreditation from the US General Services Administration</v>
      </c>
      <c r="E14" s="79" t="b">
        <f>IF(Table1[[#This Row],[Column11]]&gt;20,TRUE,FALSE)</f>
        <v>0</v>
      </c>
      <c r="F14" s="79" t="s">
        <v>17</v>
      </c>
      <c r="G14" s="80" t="s">
        <v>16</v>
      </c>
      <c r="H14" s="81">
        <v>1</v>
      </c>
      <c r="I14" s="71" t="str">
        <f>VLOOKUP(B14,'HECVAT - Full'!A:E,3,FALSE)</f>
        <v>Yes</v>
      </c>
      <c r="J14" s="71">
        <f>IF(Table1[[#This Row],[Column7]]=Table1[[#This Row],[Column9]],1,0)</f>
        <v>1</v>
      </c>
      <c r="K14" s="71">
        <f>IF(Table1[[#This Row],[Column8]]=1,15,"")</f>
        <v>15</v>
      </c>
      <c r="L14" s="71">
        <f>IF(Table1[[#This Row],[Column8]]=1,J14*K14,"")</f>
        <v>15</v>
      </c>
      <c r="M14" s="72">
        <f>VLOOKUP($B14,'Standards Crosswalk'!$A:$H,3,FALSE)</f>
        <v>0</v>
      </c>
      <c r="N14" s="72">
        <f>VLOOKUP($B14,'Standards Crosswalk'!$A:$H,4,FALSE)</f>
        <v>0</v>
      </c>
      <c r="O14" s="72" t="str">
        <f>VLOOKUP($B14,'Standards Crosswalk'!$A:$H,5,FALSE)</f>
        <v>18.1.1</v>
      </c>
      <c r="P14" s="72">
        <f>VLOOKUP($B14,'Standards Crosswalk'!$A:$H,6,FALSE)</f>
        <v>0</v>
      </c>
      <c r="Q14" s="72">
        <f>VLOOKUP($B14,'Standards Crosswalk'!$A:$H,7,FALSE)</f>
        <v>0</v>
      </c>
      <c r="R14" s="72" t="str">
        <f>VLOOKUP($B14,'Standards Crosswalk'!$A:$H,8,FALSE)</f>
        <v>SA-9</v>
      </c>
      <c r="S14" s="72">
        <f>VLOOKUP($B14,'Standards Crosswalk'!$A:$I,9,FALSE)</f>
        <v>0</v>
      </c>
      <c r="T14" s="90" t="s">
        <v>2043</v>
      </c>
      <c r="U14" s="87">
        <f>COUNTIFS(B:B,"VULN*",J:J,"=1")</f>
        <v>3</v>
      </c>
      <c r="V14" s="88">
        <f>COUNTIF(B:B,"VULN*")</f>
        <v>9</v>
      </c>
      <c r="W14" s="88">
        <f>SUMIFS(L:L,B:B, "VULN*")</f>
        <v>60</v>
      </c>
      <c r="X14" s="88">
        <f>SUMIFS(K:K,B:B, "VULN*")</f>
        <v>170</v>
      </c>
      <c r="Y14" s="89">
        <f t="shared" si="0"/>
        <v>0.35294117647058826</v>
      </c>
    </row>
    <row r="15" spans="1:25" ht="91" thickBot="1" x14ac:dyDescent="0.2">
      <c r="A15" s="71">
        <f t="shared" si="1"/>
        <v>13</v>
      </c>
      <c r="B15" s="77" t="s">
        <v>175</v>
      </c>
      <c r="C15" s="78" t="str">
        <f>VLOOKUP(B15,'HECVAT - Full'!A:E,2,FALSE)</f>
        <v>Does your organization have a data privacy policy?</v>
      </c>
      <c r="D15" s="71" t="str">
        <f>VLOOKUP(B15,'HECVAT - Full'!A:E,4,FALSE)</f>
        <v>Available at https://pronto.io/privacy</v>
      </c>
      <c r="E15" s="79" t="b">
        <f>IF(Table1[[#This Row],[Column11]]&gt;20,TRUE,FALSE)</f>
        <v>1</v>
      </c>
      <c r="F15" s="79" t="s">
        <v>17</v>
      </c>
      <c r="G15" s="80" t="s">
        <v>16</v>
      </c>
      <c r="H15" s="81">
        <v>1</v>
      </c>
      <c r="I15" s="71" t="str">
        <f>VLOOKUP(B15,'HECVAT - Full'!A:E,3,FALSE)</f>
        <v>Yes</v>
      </c>
      <c r="J15" s="71">
        <f>IF(Table1[[#This Row],[Column7]]=Table1[[#This Row],[Column9]],1,0)</f>
        <v>1</v>
      </c>
      <c r="K15" s="71">
        <f>IF(Table1[[#This Row],[Column8]]=1,25,"")</f>
        <v>25</v>
      </c>
      <c r="L15" s="71">
        <f>IF(Table1[[#This Row],[Column8]]=1,J15*K15,"")</f>
        <v>25</v>
      </c>
      <c r="M15" s="72">
        <f>VLOOKUP($B15,'Standards Crosswalk'!$A:$H,3,FALSE)</f>
        <v>0</v>
      </c>
      <c r="N15" s="72" t="str">
        <f>VLOOKUP($B15,'Standards Crosswalk'!$A:$H,4,FALSE)</f>
        <v>§164.308(a)(1)(i)</v>
      </c>
      <c r="O15" s="72" t="str">
        <f>VLOOKUP($B15,'Standards Crosswalk'!$A:$H,5,FALSE)</f>
        <v>18.1.4</v>
      </c>
      <c r="P15" s="72" t="str">
        <f>VLOOKUP($B15,'Standards Crosswalk'!$A:$H,6,FALSE)</f>
        <v>ID.GV-3</v>
      </c>
      <c r="Q15" s="72" t="str">
        <f>VLOOKUP($B15,'Standards Crosswalk'!$A:$H,7,FALSE)</f>
        <v>ID.GV-3</v>
      </c>
      <c r="R15" s="72" t="str">
        <f>VLOOKUP($B15,'Standards Crosswalk'!$A:$H,8,FALSE)</f>
        <v>SA-9</v>
      </c>
      <c r="S15" s="72">
        <f>VLOOKUP($B15,'Standards Crosswalk'!$A:$I,9,FALSE)</f>
        <v>0</v>
      </c>
      <c r="T15" s="71" t="str">
        <f>IF(I2="Yes","HIPAA","")</f>
        <v/>
      </c>
      <c r="U15" s="71" t="str">
        <f>IF(I2="Yes",(COUNTIFS(B:B,"HIPA*",J:J,"=1")),"")</f>
        <v/>
      </c>
      <c r="V15" s="71" t="str">
        <f>IF(I2="Yes",(COUNTIF(B:B,"HIPA*")),"")</f>
        <v/>
      </c>
      <c r="W15" s="71" t="str">
        <f>IF(I2="Yes",(SUMIFS(L:L,B:B, "HIPA*")),"")</f>
        <v/>
      </c>
      <c r="X15" s="71" t="str">
        <f>IF(I2="Yes",(SUMIFS(K:K,B:B, "HIPA*")),"")</f>
        <v/>
      </c>
      <c r="Y15" s="101" t="str">
        <f>IF(I2="Yes",(W15/X15),"")</f>
        <v/>
      </c>
    </row>
    <row r="16" spans="1:25" ht="28.5" customHeight="1" thickBot="1" x14ac:dyDescent="0.2">
      <c r="A16" s="71">
        <f t="shared" si="1"/>
        <v>14</v>
      </c>
      <c r="B16" s="95" t="s">
        <v>182</v>
      </c>
      <c r="C16" s="96"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4">
        <f>VLOOKUP(B16,'HECVAT - Full'!A:E,4,FALSE)</f>
        <v>0</v>
      </c>
      <c r="E16" s="79" t="b">
        <f>IF(Table1[[#This Row],[Column11]]&gt;20,TRUE,FALSE)</f>
        <v>1</v>
      </c>
      <c r="F16" s="97" t="s">
        <v>2088</v>
      </c>
      <c r="G16" s="80" t="s">
        <v>16</v>
      </c>
      <c r="H16" s="81">
        <v>1</v>
      </c>
      <c r="I16" s="94" t="str">
        <f>VLOOKUP(B16,'HECVAT - Full'!A:E,3,FALSE)</f>
        <v>We perform an annual risk-assessment review of vendors where we evaluate service-level agreements, security measures, and audit results. If necessary we follow-up directly with the vendor with specific security questions to ensure they meet appropriate standards.</v>
      </c>
      <c r="J16" s="71">
        <f>IF(VLOOKUP(Table1[[#This Row],[Column2]],'Analyst Report'!$A$41:$G$88,7,FALSE)="Yes",1,0)</f>
        <v>0</v>
      </c>
      <c r="K16" s="71">
        <f>IF(Table1[[#This Row],[Column8]]=1,25,"")</f>
        <v>25</v>
      </c>
      <c r="L16" s="71">
        <f>IF(Table1[[#This Row],[Column8]]=1,J16*K16,"")</f>
        <v>0</v>
      </c>
      <c r="M16" s="100" t="str">
        <f>VLOOKUP($B16,'Standards Crosswalk'!$A:$H,3,FALSE)</f>
        <v>CSC 13</v>
      </c>
      <c r="N16" s="100">
        <f>VLOOKUP($B16,'Standards Crosswalk'!$A:$H,4,FALSE)</f>
        <v>0</v>
      </c>
      <c r="O16" s="100" t="str">
        <f>VLOOKUP($B16,'Standards Crosswalk'!$A:$H,5,FALSE)</f>
        <v>15.1.3</v>
      </c>
      <c r="P16" s="100" t="str">
        <f>VLOOKUP($B16,'Standards Crosswalk'!$A:$H,6,FALSE)</f>
        <v>ID.AM-6, PR-AT-3</v>
      </c>
      <c r="Q16" s="100" t="str">
        <f>VLOOKUP($B16,'Standards Crosswalk'!$A:$H,7,FALSE)</f>
        <v>3.8.2</v>
      </c>
      <c r="R16" s="100" t="str">
        <f>VLOOKUP($B16,'Standards Crosswalk'!$A:$H,8,FALSE)</f>
        <v>MP-2, RA-3</v>
      </c>
      <c r="S16" s="72">
        <f>VLOOKUP($B16,'Standards Crosswalk'!$A:$I,9,FALSE)</f>
        <v>12.8</v>
      </c>
      <c r="T16" s="71" t="str">
        <f>IF(I3="Yes","Mobile App","")</f>
        <v>Mobile App</v>
      </c>
      <c r="U16" s="71">
        <f>IF(I3="Yes",(COUNTIFS(B:B,"MAPP*",J:J,"=1")),"")</f>
        <v>4</v>
      </c>
      <c r="V16" s="71">
        <f>IF(I3="Yes",(COUNTIF(B:B,"MAPP*")),"")</f>
        <v>11</v>
      </c>
      <c r="W16" s="71">
        <f>IF(I3="Yes",(SUMIFS(L:L,B:B, "MAPP*")),"")</f>
        <v>115</v>
      </c>
      <c r="X16" s="71">
        <f>IF(I3="Yes",(SUMIFS(K:K,B:B, "MAPP*")),"")</f>
        <v>265</v>
      </c>
      <c r="Y16" s="101">
        <f>IF(I3="Yes",(W16/X16),"")</f>
        <v>0.43396226415094341</v>
      </c>
    </row>
    <row r="17" spans="1:25" ht="28.5" customHeight="1" thickBot="1" x14ac:dyDescent="0.2">
      <c r="A17" s="71">
        <f t="shared" si="1"/>
        <v>15</v>
      </c>
      <c r="B17" s="95" t="s">
        <v>183</v>
      </c>
      <c r="C17" s="96" t="str">
        <f>VLOOKUP(B17,'HECVAT - Full'!A:E,2,FALSE)</f>
        <v>Provide a brief description for why each of these third parties will have access to institution data.</v>
      </c>
      <c r="D17" s="94">
        <f>VLOOKUP(B17,'HECVAT - Full'!A:E,4,FALSE)</f>
        <v>0</v>
      </c>
      <c r="E17" s="79" t="b">
        <f>IF(Table1[[#This Row],[Column11]]&gt;20,TRUE,FALSE)</f>
        <v>1</v>
      </c>
      <c r="F17" s="97" t="s">
        <v>2088</v>
      </c>
      <c r="G17" s="80" t="s">
        <v>16</v>
      </c>
      <c r="H17" s="81">
        <v>1</v>
      </c>
      <c r="I17" s="94" t="str">
        <f>VLOOKUP(B17,'HECVAT - Full'!A:E,3,FALSE)</f>
        <v>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v>
      </c>
      <c r="J17" s="71">
        <f>IF(VLOOKUP(Table1[[#This Row],[Column2]],'Analyst Report'!$A$41:$G$88,7,FALSE)="Yes",1,0)</f>
        <v>0</v>
      </c>
      <c r="K17" s="71">
        <f>IF(Table1[[#This Row],[Column8]]=1,25,"")</f>
        <v>25</v>
      </c>
      <c r="L17" s="71">
        <f>IF(Table1[[#This Row],[Column8]]=1,J17*K17,"")</f>
        <v>0</v>
      </c>
      <c r="M17" s="100" t="str">
        <f>VLOOKUP($B17,'Standards Crosswalk'!$A:$H,3,FALSE)</f>
        <v>CSC 13</v>
      </c>
      <c r="N17" s="100">
        <f>VLOOKUP($B17,'Standards Crosswalk'!$A:$H,4,FALSE)</f>
        <v>0</v>
      </c>
      <c r="O17" s="100" t="str">
        <f>VLOOKUP($B17,'Standards Crosswalk'!$A:$H,5,FALSE)</f>
        <v>15.1.3</v>
      </c>
      <c r="P17" s="100" t="str">
        <f>VLOOKUP($B17,'Standards Crosswalk'!$A:$H,6,FALSE)</f>
        <v>ID.AM-6, PR-AT-3</v>
      </c>
      <c r="Q17" s="100" t="str">
        <f>VLOOKUP($B17,'Standards Crosswalk'!$A:$H,7,FALSE)</f>
        <v>3.8.2</v>
      </c>
      <c r="R17" s="100">
        <f>VLOOKUP($B17,'Standards Crosswalk'!$A:$H,8,FALSE)</f>
        <v>0</v>
      </c>
      <c r="S17" s="72">
        <f>VLOOKUP($B17,'Standards Crosswalk'!$A:$I,9,FALSE)</f>
        <v>12.8</v>
      </c>
      <c r="T17" s="71" t="str">
        <f>IF(I4="Yes","Third Parties","")</f>
        <v>Third Parties</v>
      </c>
      <c r="U17" s="71">
        <f>IF(I4="Yes",(COUNTIFS(B:B,"THRD*",J:J,"=1")),"")</f>
        <v>0</v>
      </c>
      <c r="V17" s="71">
        <f>IF(I4="Yes",(COUNTIF(B:B,"THRD*")),"")</f>
        <v>4</v>
      </c>
      <c r="W17" s="71">
        <f>IF(I4="Yes",(SUMIFS(L:L,B:B, "THRD*")),"")</f>
        <v>0</v>
      </c>
      <c r="X17" s="71">
        <f>IF(I4="Yes",(SUMIFS(K:K,B:B, "THRD*")),"")</f>
        <v>100</v>
      </c>
      <c r="Y17" s="101">
        <f>IF(I4="Yes",(W17/X17),"")</f>
        <v>0</v>
      </c>
    </row>
    <row r="18" spans="1:25" ht="15.75" customHeight="1" thickBot="1" x14ac:dyDescent="0.2">
      <c r="A18" s="71">
        <f t="shared" si="1"/>
        <v>16</v>
      </c>
      <c r="B18" s="95" t="s">
        <v>184</v>
      </c>
      <c r="C18" s="96" t="str">
        <f>VLOOKUP(B18,'HECVAT - Full'!A:E,2,FALSE)</f>
        <v>What legal agreements (i.e. contracts) do you have in place with these third parties that address liability in the event of a data breach?</v>
      </c>
      <c r="D18" s="94">
        <f>VLOOKUP(B18,'HECVAT - Full'!A:E,4,FALSE)</f>
        <v>0</v>
      </c>
      <c r="E18" s="79" t="b">
        <f>IF(Table1[[#This Row],[Column11]]&gt;20,TRUE,FALSE)</f>
        <v>1</v>
      </c>
      <c r="F18" s="97" t="s">
        <v>2088</v>
      </c>
      <c r="G18" s="80" t="s">
        <v>16</v>
      </c>
      <c r="H18" s="81">
        <v>1</v>
      </c>
      <c r="I18" s="94" t="str">
        <f>VLOOKUP(B18,'HECVAT - Full'!A:E,3,FALSE)</f>
        <v>Amazon Web Services, Inc. - https://aws.amazon.com/agreement/
Pusher Ltd. - https://pusher.com/legal
Twilio, Inc - https://www.twilio.com/legal/tos
Nexmo Inc (dba Vonage) - https://www.vonage.com/legal/unified-communications/enterprise/tos/</v>
      </c>
      <c r="J18" s="71">
        <f>IF(VLOOKUP(Table1[[#This Row],[Column2]],'Analyst Report'!$A$41:$G$88,7,FALSE)="Yes",1,0)</f>
        <v>0</v>
      </c>
      <c r="K18" s="71">
        <f>IF(Table1[[#This Row],[Column8]]=1,25,"")</f>
        <v>25</v>
      </c>
      <c r="L18" s="71">
        <f>IF(Table1[[#This Row],[Column8]]=1,J18*K18,"")</f>
        <v>0</v>
      </c>
      <c r="M18" s="100" t="str">
        <f>VLOOKUP($B18,'Standards Crosswalk'!$A:$H,3,FALSE)</f>
        <v>CSC 13</v>
      </c>
      <c r="N18" s="100">
        <f>VLOOKUP($B18,'Standards Crosswalk'!$A:$H,4,FALSE)</f>
        <v>0</v>
      </c>
      <c r="O18" s="100" t="str">
        <f>VLOOKUP($B18,'Standards Crosswalk'!$A:$H,5,FALSE)</f>
        <v>15.1.3</v>
      </c>
      <c r="P18" s="100" t="str">
        <f>VLOOKUP($B18,'Standards Crosswalk'!$A:$H,6,FALSE)</f>
        <v>ID.GV-3</v>
      </c>
      <c r="Q18" s="100">
        <f>VLOOKUP($B18,'Standards Crosswalk'!$A:$H,7,FALSE)</f>
        <v>0</v>
      </c>
      <c r="R18" s="100" t="str">
        <f>VLOOKUP($B18,'Standards Crosswalk'!$A:$H,8,FALSE)</f>
        <v>PS-3</v>
      </c>
      <c r="S18" s="72">
        <f>VLOOKUP($B18,'Standards Crosswalk'!$A:$I,9,FALSE)</f>
        <v>12.8</v>
      </c>
      <c r="T18" s="71" t="str">
        <f>IF(I5="Yes","Business Continuity Plan","")</f>
        <v>Business Continuity Plan</v>
      </c>
      <c r="U18" s="71">
        <f>IF(I5="Yes",(COUNTIFS(B:B,"BCPL*",J:J,"=1")),"")</f>
        <v>8</v>
      </c>
      <c r="V18" s="71">
        <f>IF(I5="Yes",(COUNTIF(B:B,"BCPL*")),"")</f>
        <v>12</v>
      </c>
      <c r="W18" s="71">
        <f>IF(I5="Yes",(SUMIFS(L:L,B:B, "BCPL*")),"")</f>
        <v>160</v>
      </c>
      <c r="X18" s="71">
        <f>IF(I5="Yes",(SUMIFS(K:K,B:B, "BCPL*")),"")</f>
        <v>250</v>
      </c>
      <c r="Y18" s="101">
        <f>IF(I5="Yes",(W18/X18),"")</f>
        <v>0.64</v>
      </c>
    </row>
    <row r="19" spans="1:25" ht="409.6" thickBot="1" x14ac:dyDescent="0.2">
      <c r="A19" s="71">
        <f t="shared" si="1"/>
        <v>17</v>
      </c>
      <c r="B19" s="95" t="s">
        <v>428</v>
      </c>
      <c r="C19" s="96" t="str">
        <f>VLOOKUP(B19,'HECVAT - Full'!A:E,2,FALSE)</f>
        <v>Describe or provide references to your third party management strategy or provide additional information that may help analysts better understand your environment and how it relates to third-party solutions.</v>
      </c>
      <c r="D19" s="94">
        <f>VLOOKUP(B19,'HECVAT - Full'!A:E,4,FALSE)</f>
        <v>0</v>
      </c>
      <c r="E19" s="79" t="b">
        <f>IF(Table1[[#This Row],[Column11]]&gt;20,TRUE,FALSE)</f>
        <v>1</v>
      </c>
      <c r="F19" s="97" t="s">
        <v>2088</v>
      </c>
      <c r="G19" s="80" t="s">
        <v>16</v>
      </c>
      <c r="H19" s="81">
        <v>1</v>
      </c>
      <c r="I19" s="94" t="str">
        <f>VLOOKUP(B19,'HECVAT - Full'!A:E,3,FALSE)</f>
        <v>When evaluating third party vendors with whom will be shared institutional data, Hit Labs seeks reputable partners that express a deep concern for information security and couple that with a reputation and track record that matches.</v>
      </c>
      <c r="J19" s="71">
        <f>IF(VLOOKUP(Table1[[#This Row],[Column2]],'Analyst Report'!$A$41:$G$88,7,FALSE)="Yes",1,0)</f>
        <v>0</v>
      </c>
      <c r="K19" s="71">
        <f>IF(Table1[[#This Row],[Column8]]=1,25,"")</f>
        <v>25</v>
      </c>
      <c r="L19" s="71">
        <f>IF(Table1[[#This Row],[Column8]]=1,J19*K19,"")</f>
        <v>0</v>
      </c>
      <c r="M19" s="100">
        <f>VLOOKUP($B19,'Standards Crosswalk'!$A:$H,3,FALSE)</f>
        <v>0</v>
      </c>
      <c r="N19" s="100">
        <f>VLOOKUP($B19,'Standards Crosswalk'!$A:$H,4,FALSE)</f>
        <v>0</v>
      </c>
      <c r="O19" s="100" t="str">
        <f>VLOOKUP($B19,'Standards Crosswalk'!$A:$H,5,FALSE)</f>
        <v>15.1.3</v>
      </c>
      <c r="P19" s="100" t="str">
        <f>VLOOKUP($B19,'Standards Crosswalk'!$A:$H,6,FALSE)</f>
        <v>ID.AM-6, PR.AT-3</v>
      </c>
      <c r="Q19" s="100">
        <f>VLOOKUP($B19,'Standards Crosswalk'!$A:$H,7,FALSE)</f>
        <v>0</v>
      </c>
      <c r="R19" s="100" t="str">
        <f>VLOOKUP($B19,'Standards Crosswalk'!$A:$H,8,FALSE)</f>
        <v>PS-5</v>
      </c>
      <c r="S19" s="72">
        <f>VLOOKUP($B19,'Standards Crosswalk'!$A:$I,9,FALSE)</f>
        <v>12.8</v>
      </c>
      <c r="T19" s="71" t="str">
        <f>IF(I7="Yes","Disaster Recovery Plan","")</f>
        <v>Disaster Recovery Plan</v>
      </c>
      <c r="U19" s="71">
        <f>IF(I7="Yes",(COUNTIFS(B:B,"DRPL*",J:J,"=1")),"")</f>
        <v>9</v>
      </c>
      <c r="V19" s="71">
        <f>IF(I7="Yes",(COUNTIF(B:B,"DRPL*")),"")</f>
        <v>13</v>
      </c>
      <c r="W19" s="71">
        <f>IF(I7="Yes",(SUMIFS(L:L,B:B, "DRPL*")),"")</f>
        <v>165</v>
      </c>
      <c r="X19" s="71">
        <f>IF(I7="Yes",(SUMIFS(K:K,B:B, "DRPL*")),"")</f>
        <v>250</v>
      </c>
      <c r="Y19" s="101">
        <f t="shared" ref="Y19:Y21" si="3">IF(I7="Yes",(W19/X19),"")</f>
        <v>0.66</v>
      </c>
    </row>
    <row r="20" spans="1:25" ht="31" thickBot="1" x14ac:dyDescent="0.2">
      <c r="A20" s="71">
        <f t="shared" si="1"/>
        <v>18</v>
      </c>
      <c r="B20" s="95" t="s">
        <v>185</v>
      </c>
      <c r="C20" s="96" t="str">
        <f>VLOOKUP(B20,'HECVAT - Full'!A:E,2,FALSE)</f>
        <v>Will the consulting take place on-premises?</v>
      </c>
      <c r="D20" s="94">
        <f>VLOOKUP(B20,'HECVAT - Full'!A:E,4,FALSE)</f>
        <v>0</v>
      </c>
      <c r="E20" s="79" t="b">
        <f>IF(Table1[[#This Row],[Column11]]&gt;20,TRUE,FALSE)</f>
        <v>0</v>
      </c>
      <c r="F20" s="79" t="s">
        <v>92</v>
      </c>
      <c r="G20" s="98" t="s">
        <v>16</v>
      </c>
      <c r="H20" s="99">
        <v>1</v>
      </c>
      <c r="I20" s="94">
        <f>VLOOKUP(B20,'HECVAT - Full'!A:E,3,FALSE)</f>
        <v>0</v>
      </c>
      <c r="J20" s="71">
        <f>IF(Table1[[#This Row],[Column7]]=Table1[[#This Row],[Column9]],1,0)</f>
        <v>0</v>
      </c>
      <c r="K20" s="71">
        <f>IF(Table1[[#This Row],[Column8]]=1,20,"")</f>
        <v>20</v>
      </c>
      <c r="L20" s="71">
        <f>IF(Table1[[#This Row],[Column8]]=1,J20*K20,"")</f>
        <v>0</v>
      </c>
      <c r="M20" s="72">
        <f>VLOOKUP($B20,'Standards Crosswalk'!$A:$H,3,FALSE)</f>
        <v>0</v>
      </c>
      <c r="N20" s="100">
        <f>VLOOKUP($B20,'Standards Crosswalk'!$A:$H,4,FALSE)</f>
        <v>0</v>
      </c>
      <c r="O20" s="100" t="str">
        <f>VLOOKUP($B20,'Standards Crosswalk'!$A:$H,5,FALSE)</f>
        <v>15.2.1</v>
      </c>
      <c r="P20" s="100" t="str">
        <f>VLOOKUP($B20,'Standards Crosswalk'!$A:$H,6,FALSE)</f>
        <v>ID.AM-6, PR.AT-3</v>
      </c>
      <c r="Q20" s="100">
        <f>VLOOKUP($B20,'Standards Crosswalk'!$A:$H,7,FALSE)</f>
        <v>0</v>
      </c>
      <c r="R20" s="100">
        <f>VLOOKUP($B20,'Standards Crosswalk'!$A:$H,8,FALSE)</f>
        <v>0</v>
      </c>
      <c r="S20" s="72">
        <f>VLOOKUP($B20,'Standards Crosswalk'!$A:$I,9,FALSE)</f>
        <v>0</v>
      </c>
      <c r="T20" s="71" t="str">
        <f>IF(I8="Yes","PCI DSS","")</f>
        <v/>
      </c>
      <c r="U20" s="71" t="str">
        <f>IF(I8="Yes",(COUNTIFS(B:B,"PCID*",J:J,"=1")),"")</f>
        <v/>
      </c>
      <c r="V20" s="71" t="str">
        <f>IF(I8="Yes",(COUNTIF(B:B,"PCID*")),"")</f>
        <v/>
      </c>
      <c r="W20" s="71" t="str">
        <f>IF(I8="Yes",(SUMIFS(L:L,B:B, "PCID*")),"")</f>
        <v/>
      </c>
      <c r="X20" s="71" t="str">
        <f>IF(I8="Yes",(SUMIFS(K:K,B:B, "PCID*")),"")</f>
        <v/>
      </c>
      <c r="Y20" s="101" t="str">
        <f t="shared" si="3"/>
        <v/>
      </c>
    </row>
    <row r="21" spans="1:25" ht="31" thickBot="1" x14ac:dyDescent="0.2">
      <c r="A21" s="71">
        <f t="shared" si="1"/>
        <v>19</v>
      </c>
      <c r="B21" s="77" t="s">
        <v>186</v>
      </c>
      <c r="C21" s="78" t="str">
        <f>VLOOKUP(B21,'HECVAT - Full'!A:E,2,FALSE)</f>
        <v>Will the consultant require access to Institution's network resources?</v>
      </c>
      <c r="D21" s="71">
        <f>VLOOKUP(B21,'HECVAT - Full'!A:E,4,FALSE)</f>
        <v>0</v>
      </c>
      <c r="E21" s="79" t="b">
        <f>IF(Table1[[#This Row],[Column11]]&gt;20,TRUE,FALSE)</f>
        <v>0</v>
      </c>
      <c r="F21" s="79" t="s">
        <v>92</v>
      </c>
      <c r="G21" s="80" t="s">
        <v>19</v>
      </c>
      <c r="H21" s="81">
        <v>1</v>
      </c>
      <c r="I21" s="94">
        <f>VLOOKUP(B21,'HECVAT - Full'!A:E,3,FALSE)</f>
        <v>0</v>
      </c>
      <c r="J21" s="71">
        <f>IF(Table1[[#This Row],[Column7]]=Table1[[#This Row],[Column9]],1,0)</f>
        <v>0</v>
      </c>
      <c r="K21" s="71">
        <f>IF(Table1[[#This Row],[Column8]]=1,20,"")</f>
        <v>20</v>
      </c>
      <c r="L21" s="71">
        <f>IF(Table1[[#This Row],[Column8]]=1,J21*K21,"")</f>
        <v>0</v>
      </c>
      <c r="M21" s="72" t="str">
        <f>VLOOKUP($B21,'Standards Crosswalk'!$A:$H,3,FALSE)</f>
        <v>CSC 14</v>
      </c>
      <c r="N21" s="72">
        <f>VLOOKUP($B21,'Standards Crosswalk'!$A:$H,4,FALSE)</f>
        <v>0</v>
      </c>
      <c r="O21" s="72" t="str">
        <f>VLOOKUP($B21,'Standards Crosswalk'!$A:$H,5,FALSE)</f>
        <v>9.1.2</v>
      </c>
      <c r="P21" s="72" t="str">
        <f>VLOOKUP($B21,'Standards Crosswalk'!$A:$H,6,FALSE)</f>
        <v>ID.AM-6, PR.AT-3</v>
      </c>
      <c r="Q21" s="72" t="str">
        <f>VLOOKUP($B21,'Standards Crosswalk'!$A:$H,7,FALSE)</f>
        <v>3.1.2, 3.1.3</v>
      </c>
      <c r="R21" s="72" t="str">
        <f>VLOOKUP($B21,'Standards Crosswalk'!$A:$H,8,FALSE)</f>
        <v>AC-4</v>
      </c>
      <c r="S21" s="72">
        <f>VLOOKUP($B21,'Standards Crosswalk'!$A:$I,9,FALSE)</f>
        <v>0</v>
      </c>
      <c r="T21" s="71" t="str">
        <f>IF(I9="Yes","Consulting Only","")</f>
        <v/>
      </c>
      <c r="U21" s="71" t="str">
        <f>IF(I9="Yes",(COUNTIFS(B:B,"CONS*",J:J,"=1")),"")</f>
        <v/>
      </c>
      <c r="V21" s="71" t="str">
        <f>IF(I9="Yes",(COUNTIF(B:B,"CONS*")),"")</f>
        <v/>
      </c>
      <c r="W21" s="71" t="str">
        <f>IF(I9="Yes",(SUMIFS(L:L,B:B, "CONS*")),"")</f>
        <v/>
      </c>
      <c r="X21" s="71" t="str">
        <f>IF(I9="Yes",(SUMIFS(K:K,B:B, "CONS*")),"")</f>
        <v/>
      </c>
      <c r="Y21" s="101" t="str">
        <f t="shared" si="3"/>
        <v/>
      </c>
    </row>
    <row r="22" spans="1:25" ht="46" thickBot="1" x14ac:dyDescent="0.2">
      <c r="A22" s="71">
        <f t="shared" si="1"/>
        <v>20</v>
      </c>
      <c r="B22" s="77" t="s">
        <v>187</v>
      </c>
      <c r="C22" s="78" t="str">
        <f>VLOOKUP(B22,'HECVAT - Full'!A:E,2,FALSE)</f>
        <v>Will the consultant require access to hardware in the Institution's data centers?</v>
      </c>
      <c r="D22" s="71">
        <f>VLOOKUP(B22,'HECVAT - Full'!A:E,4,FALSE)</f>
        <v>0</v>
      </c>
      <c r="E22" s="79" t="b">
        <f>IF(Table1[[#This Row],[Column11]]&gt;20,TRUE,FALSE)</f>
        <v>1</v>
      </c>
      <c r="F22" s="79" t="s">
        <v>92</v>
      </c>
      <c r="G22" s="80" t="s">
        <v>19</v>
      </c>
      <c r="H22" s="81">
        <v>1</v>
      </c>
      <c r="I22" s="94">
        <f>VLOOKUP(B22,'HECVAT - Full'!A:E,3,FALSE)</f>
        <v>0</v>
      </c>
      <c r="J22" s="71">
        <f>IF(Table1[[#This Row],[Column7]]=Table1[[#This Row],[Column9]],1,0)</f>
        <v>0</v>
      </c>
      <c r="K22" s="71">
        <f>IF(Table1[[#This Row],[Column8]]=1,25,"")</f>
        <v>25</v>
      </c>
      <c r="L22" s="71">
        <f>IF(Table1[[#This Row],[Column8]]=1,J22*K22,"")</f>
        <v>0</v>
      </c>
      <c r="M22" s="72" t="str">
        <f>VLOOKUP($B22,'Standards Crosswalk'!$A:$H,3,FALSE)</f>
        <v>CSC 14</v>
      </c>
      <c r="N22" s="72">
        <f>VLOOKUP($B22,'Standards Crosswalk'!$A:$H,4,FALSE)</f>
        <v>0</v>
      </c>
      <c r="O22" s="72" t="str">
        <f>VLOOKUP($B22,'Standards Crosswalk'!$A:$H,5,FALSE)</f>
        <v>9.2.6</v>
      </c>
      <c r="P22" s="72" t="str">
        <f>VLOOKUP($B22,'Standards Crosswalk'!$A:$H,6,FALSE)</f>
        <v>ID.AM-6, PR.AT-3</v>
      </c>
      <c r="Q22" s="72" t="str">
        <f>VLOOKUP($B22,'Standards Crosswalk'!$A:$H,7,FALSE)</f>
        <v>3.1.2</v>
      </c>
      <c r="R22" s="72">
        <f>VLOOKUP($B22,'Standards Crosswalk'!$A:$H,8,FALSE)</f>
        <v>0</v>
      </c>
      <c r="S22" s="72">
        <f>VLOOKUP($B22,'Standards Crosswalk'!$A:$I,9,FALSE)</f>
        <v>0</v>
      </c>
      <c r="W22" s="71" t="s">
        <v>2099</v>
      </c>
      <c r="Y22" s="71" t="s">
        <v>2100</v>
      </c>
    </row>
    <row r="23" spans="1:25" ht="46" thickBot="1" x14ac:dyDescent="0.2">
      <c r="A23" s="71">
        <f t="shared" si="1"/>
        <v>21</v>
      </c>
      <c r="B23" s="77" t="s">
        <v>188</v>
      </c>
      <c r="C23" s="78" t="str">
        <f>VLOOKUP(B23,'HECVAT - Full'!A:E,2,FALSE)</f>
        <v>Will the consultant require an account within the Institution's domain (@*.edu)?</v>
      </c>
      <c r="D23" s="71">
        <f>VLOOKUP(B23,'HECVAT - Full'!A:E,4,FALSE)</f>
        <v>0</v>
      </c>
      <c r="E23" s="79" t="b">
        <f>IF(Table1[[#This Row],[Column11]]&gt;20,TRUE,FALSE)</f>
        <v>0</v>
      </c>
      <c r="F23" s="79" t="s">
        <v>92</v>
      </c>
      <c r="G23" s="80" t="s">
        <v>19</v>
      </c>
      <c r="H23" s="81">
        <v>1</v>
      </c>
      <c r="I23" s="94">
        <f>VLOOKUP(B23,'HECVAT - Full'!A:E,3,FALSE)</f>
        <v>0</v>
      </c>
      <c r="J23" s="71">
        <f>IF(Table1[[#This Row],[Column7]]=Table1[[#This Row],[Column9]],1,0)</f>
        <v>0</v>
      </c>
      <c r="K23" s="71">
        <f>IF(Table1[[#This Row],[Column8]]=1,20,"")</f>
        <v>20</v>
      </c>
      <c r="L23" s="71">
        <f>IF(Table1[[#This Row],[Column8]]=1,J23*K23,"")</f>
        <v>0</v>
      </c>
      <c r="M23" s="72" t="str">
        <f>VLOOKUP($B23,'Standards Crosswalk'!$A:$H,3,FALSE)</f>
        <v>CSC 14</v>
      </c>
      <c r="N23" s="72">
        <f>VLOOKUP($B23,'Standards Crosswalk'!$A:$H,4,FALSE)</f>
        <v>0</v>
      </c>
      <c r="O23" s="72">
        <f>VLOOKUP($B23,'Standards Crosswalk'!$A:$H,5,FALSE)</f>
        <v>0</v>
      </c>
      <c r="P23" s="72" t="str">
        <f>VLOOKUP($B23,'Standards Crosswalk'!$A:$H,6,FALSE)</f>
        <v>ID.AM-6, PR.AT-3</v>
      </c>
      <c r="Q23" s="72">
        <f>VLOOKUP($B23,'Standards Crosswalk'!$A:$H,7,FALSE)</f>
        <v>0</v>
      </c>
      <c r="R23" s="72">
        <f>VLOOKUP($B23,'Standards Crosswalk'!$A:$H,8,FALSE)</f>
        <v>0</v>
      </c>
      <c r="S23" s="72">
        <f>VLOOKUP($B23,'Standards Crosswalk'!$A:$I,9,FALSE)</f>
        <v>0</v>
      </c>
      <c r="T23" s="91"/>
      <c r="U23" s="92">
        <f>SUM(U7:U21)</f>
        <v>83</v>
      </c>
      <c r="V23" s="92">
        <f>SUM(V7:V21)</f>
        <v>137</v>
      </c>
      <c r="W23" s="104">
        <f>AVERAGE(Y2:Y21)</f>
        <v>0.54567474838226748</v>
      </c>
      <c r="X23" s="91" t="str">
        <f>IF(W23&gt;=0.9,"A",IF(W23&gt;=0.8,"B",IF(W23&gt;=0.7,"C",IF(W23&gt;=0.6,"D","F"))))</f>
        <v>F</v>
      </c>
      <c r="Y23" s="91">
        <f>SUM(W2:W21)</f>
        <v>2325</v>
      </c>
    </row>
    <row r="24" spans="1:25" ht="46" thickBot="1" x14ac:dyDescent="0.2">
      <c r="A24" s="71">
        <f t="shared" si="1"/>
        <v>22</v>
      </c>
      <c r="B24" s="77" t="s">
        <v>189</v>
      </c>
      <c r="C24" s="78" t="str">
        <f>VLOOKUP(B24,'HECVAT - Full'!A:E,2,FALSE)</f>
        <v>Has the consultant received training on [sensitive, HIPAA, PCI, etc.] data handling?</v>
      </c>
      <c r="D24" s="71">
        <f>VLOOKUP(B24,'HECVAT - Full'!A:E,4,FALSE)</f>
        <v>0</v>
      </c>
      <c r="E24" s="79" t="b">
        <f>IF(Table1[[#This Row],[Column11]]&gt;20,TRUE,FALSE)</f>
        <v>0</v>
      </c>
      <c r="F24" s="79" t="s">
        <v>92</v>
      </c>
      <c r="G24" s="80" t="s">
        <v>16</v>
      </c>
      <c r="H24" s="81">
        <v>1</v>
      </c>
      <c r="I24" s="94">
        <f>VLOOKUP(B24,'HECVAT - Full'!A:E,3,FALSE)</f>
        <v>0</v>
      </c>
      <c r="J24" s="71">
        <f>IF(Table1[[#This Row],[Column7]]=Table1[[#This Row],[Column9]],1,0)</f>
        <v>0</v>
      </c>
      <c r="K24" s="71">
        <f>IF(Table1[[#This Row],[Column8]]=1,20,"")</f>
        <v>20</v>
      </c>
      <c r="L24" s="71">
        <f>IF(Table1[[#This Row],[Column8]]=1,J24*K24,"")</f>
        <v>0</v>
      </c>
      <c r="M24" s="72" t="str">
        <f>VLOOKUP($B24,'Standards Crosswalk'!$A:$H,3,FALSE)</f>
        <v>CSC 13</v>
      </c>
      <c r="N24" s="72">
        <f>VLOOKUP($B24,'Standards Crosswalk'!$A:$H,4,FALSE)</f>
        <v>0</v>
      </c>
      <c r="O24" s="72" t="str">
        <f>VLOOKUP($B24,'Standards Crosswalk'!$A:$H,5,FALSE)</f>
        <v>18.1.1</v>
      </c>
      <c r="P24" s="72" t="str">
        <f>VLOOKUP($B24,'Standards Crosswalk'!$A:$H,6,FALSE)</f>
        <v>ID.AM-6, PR.AT-3</v>
      </c>
      <c r="Q24" s="72">
        <f>VLOOKUP($B24,'Standards Crosswalk'!$A:$H,7,FALSE)</f>
        <v>0</v>
      </c>
      <c r="R24" s="72">
        <f>VLOOKUP($B24,'Standards Crosswalk'!$A:$H,8,FALSE)</f>
        <v>0</v>
      </c>
      <c r="S24" s="72">
        <f>VLOOKUP($B24,'Standards Crosswalk'!$A:$I,9,FALSE)</f>
        <v>0</v>
      </c>
    </row>
    <row r="25" spans="1:25" ht="31" thickBot="1" x14ac:dyDescent="0.2">
      <c r="A25" s="71">
        <f t="shared" si="1"/>
        <v>23</v>
      </c>
      <c r="B25" s="77" t="s">
        <v>190</v>
      </c>
      <c r="C25" s="78" t="str">
        <f>VLOOKUP(B25,'HECVAT - Full'!A:E,2,FALSE)</f>
        <v>Will any data be transferred to the consultant's possession?</v>
      </c>
      <c r="D25" s="71">
        <f>VLOOKUP(B25,'HECVAT - Full'!A:E,4,FALSE)</f>
        <v>0</v>
      </c>
      <c r="E25" s="79" t="b">
        <f>IF(Table1[[#This Row],[Column11]]&gt;20,TRUE,FALSE)</f>
        <v>1</v>
      </c>
      <c r="F25" s="79" t="s">
        <v>92</v>
      </c>
      <c r="G25" s="80" t="s">
        <v>19</v>
      </c>
      <c r="H25" s="81">
        <v>1</v>
      </c>
      <c r="I25" s="94">
        <f>VLOOKUP(B25,'HECVAT - Full'!A:E,3,FALSE)</f>
        <v>0</v>
      </c>
      <c r="J25" s="71">
        <f>IF(Table1[[#This Row],[Column7]]=Table1[[#This Row],[Column9]],1,0)</f>
        <v>0</v>
      </c>
      <c r="K25" s="71">
        <f>IF(Table1[[#This Row],[Column8]]=1,25,"")</f>
        <v>25</v>
      </c>
      <c r="L25" s="71">
        <f>IF(Table1[[#This Row],[Column8]]=1,J25*K25,"")</f>
        <v>0</v>
      </c>
      <c r="M25" s="72" t="str">
        <f>VLOOKUP($B25,'Standards Crosswalk'!$A:$H,3,FALSE)</f>
        <v>CSC 13</v>
      </c>
      <c r="N25" s="72">
        <f>VLOOKUP($B25,'Standards Crosswalk'!$A:$H,4,FALSE)</f>
        <v>0</v>
      </c>
      <c r="O25" s="72" t="str">
        <f>VLOOKUP($B25,'Standards Crosswalk'!$A:$H,5,FALSE)</f>
        <v>9</v>
      </c>
      <c r="P25" s="72" t="str">
        <f>VLOOKUP($B25,'Standards Crosswalk'!$A:$H,6,FALSE)</f>
        <v>ID.AM-6, PR.AT-3</v>
      </c>
      <c r="Q25" s="72" t="str">
        <f>VLOOKUP($B25,'Standards Crosswalk'!$A:$H,7,FALSE)</f>
        <v>3.8.2</v>
      </c>
      <c r="R25" s="72" t="str">
        <f>VLOOKUP($B25,'Standards Crosswalk'!$A:$H,8,FALSE)</f>
        <v>MP-2</v>
      </c>
      <c r="S25" s="72">
        <f>VLOOKUP($B25,'Standards Crosswalk'!$A:$I,9,FALSE)</f>
        <v>0</v>
      </c>
    </row>
    <row r="26" spans="1:25" ht="31" thickBot="1" x14ac:dyDescent="0.2">
      <c r="A26" s="71">
        <f t="shared" si="1"/>
        <v>24</v>
      </c>
      <c r="B26" s="95" t="s">
        <v>191</v>
      </c>
      <c r="C26" s="78" t="str">
        <f>VLOOKUP(B26,'HECVAT - Full'!A:E,2,FALSE)</f>
        <v>Is it encrypted (at rest) while in the consultant's possession?</v>
      </c>
      <c r="D26" s="71">
        <f>VLOOKUP(B26,'HECVAT - Full'!A:E,4,FALSE)</f>
        <v>0</v>
      </c>
      <c r="E26" s="79" t="b">
        <f>IF(Table1[[#This Row],[Column11]]&gt;20,TRUE,FALSE)</f>
        <v>1</v>
      </c>
      <c r="F26" s="79" t="s">
        <v>92</v>
      </c>
      <c r="G26" s="80" t="s">
        <v>16</v>
      </c>
      <c r="H26" s="81">
        <f>IF(I25="Yes",1,0)</f>
        <v>0</v>
      </c>
      <c r="I26" s="94">
        <f>VLOOKUP(B26,'HECVAT - Full'!A:E,3,FALSE)</f>
        <v>0</v>
      </c>
      <c r="J26" s="71">
        <f>IF(Table1[[#This Row],[Column7]]=Table1[[#This Row],[Column9]],1,0)</f>
        <v>0</v>
      </c>
      <c r="K26" s="71" t="str">
        <f>IF(Table1[[#This Row],[Column8]]=1,25,"")</f>
        <v/>
      </c>
      <c r="L26" s="71" t="str">
        <f>IF(Table1[[#This Row],[Column8]]=1,J26*K26,"")</f>
        <v/>
      </c>
      <c r="M26" s="72" t="str">
        <f>VLOOKUP($B26,'Standards Crosswalk'!$A:$H,3,FALSE)</f>
        <v>CSC 13</v>
      </c>
      <c r="N26" s="72">
        <f>VLOOKUP($B26,'Standards Crosswalk'!$A:$H,4,FALSE)</f>
        <v>0</v>
      </c>
      <c r="O26" s="72" t="str">
        <f>VLOOKUP($B26,'Standards Crosswalk'!$A:$H,5,FALSE)</f>
        <v>10</v>
      </c>
      <c r="P26" s="72" t="str">
        <f>VLOOKUP($B26,'Standards Crosswalk'!$A:$H,6,FALSE)</f>
        <v>ID.AM-6, PR.AT-3</v>
      </c>
      <c r="Q26" s="72" t="str">
        <f>VLOOKUP($B26,'Standards Crosswalk'!$A:$H,7,FALSE)</f>
        <v>3.1.2, 3.1.19, 3.8.2</v>
      </c>
      <c r="R26" s="72" t="str">
        <f>VLOOKUP($B26,'Standards Crosswalk'!$A:$H,8,FALSE)</f>
        <v>MP-2</v>
      </c>
      <c r="S26" s="72">
        <f>VLOOKUP($B26,'Standards Crosswalk'!$A:$I,9,FALSE)</f>
        <v>0</v>
      </c>
    </row>
    <row r="27" spans="1:25" ht="46" thickBot="1" x14ac:dyDescent="0.2">
      <c r="A27" s="71">
        <f t="shared" si="1"/>
        <v>25</v>
      </c>
      <c r="B27" s="77" t="s">
        <v>192</v>
      </c>
      <c r="C27" s="78" t="str">
        <f>VLOOKUP(B27,'HECVAT - Full'!A:E,2,FALSE)</f>
        <v>Will the consultant need remote access to the Institution's network or systems?</v>
      </c>
      <c r="D27" s="71">
        <f>VLOOKUP(B27,'HECVAT - Full'!A:E,4,FALSE)</f>
        <v>0</v>
      </c>
      <c r="E27" s="79" t="b">
        <f>IF(Table1[[#This Row],[Column11]]&gt;20,TRUE,FALSE)</f>
        <v>1</v>
      </c>
      <c r="F27" s="79" t="s">
        <v>92</v>
      </c>
      <c r="G27" s="98" t="s">
        <v>19</v>
      </c>
      <c r="H27" s="81">
        <v>1</v>
      </c>
      <c r="I27" s="94">
        <f>VLOOKUP(B27,'HECVAT - Full'!A:E,3,FALSE)</f>
        <v>0</v>
      </c>
      <c r="J27" s="71">
        <f>IF(Table1[[#This Row],[Column7]]=Table1[[#This Row],[Column9]],1,0)</f>
        <v>0</v>
      </c>
      <c r="K27" s="71">
        <f>IF(Table1[[#This Row],[Column8]]=1,25,"")</f>
        <v>25</v>
      </c>
      <c r="L27" s="71">
        <f>IF(Table1[[#This Row],[Column8]]=1,J27*K27,"")</f>
        <v>0</v>
      </c>
      <c r="M27" s="72" t="str">
        <f>VLOOKUP($B27,'Standards Crosswalk'!$A:$H,3,FALSE)</f>
        <v>CSC 14</v>
      </c>
      <c r="N27" s="72">
        <f>VLOOKUP($B27,'Standards Crosswalk'!$A:$H,4,FALSE)</f>
        <v>0</v>
      </c>
      <c r="O27" s="72" t="str">
        <f>VLOOKUP($B27,'Standards Crosswalk'!$A:$H,5,FALSE)</f>
        <v>9</v>
      </c>
      <c r="P27" s="72" t="str">
        <f>VLOOKUP($B27,'Standards Crosswalk'!$A:$H,6,FALSE)</f>
        <v>ID.AM-6, PR.AT-3</v>
      </c>
      <c r="Q27" s="72">
        <f>VLOOKUP($B27,'Standards Crosswalk'!$A:$H,7,FALSE)</f>
        <v>0</v>
      </c>
      <c r="R27" s="72">
        <f>VLOOKUP($B27,'Standards Crosswalk'!$A:$H,8,FALSE)</f>
        <v>0</v>
      </c>
      <c r="S27" s="72">
        <f>VLOOKUP($B27,'Standards Crosswalk'!$A:$I,9,FALSE)</f>
        <v>0</v>
      </c>
    </row>
    <row r="28" spans="1:25" ht="31" thickBot="1" x14ac:dyDescent="0.2">
      <c r="A28" s="71">
        <f t="shared" si="1"/>
        <v>26</v>
      </c>
      <c r="B28" s="95" t="s">
        <v>193</v>
      </c>
      <c r="C28" s="78" t="str">
        <f>VLOOKUP(B28,'HECVAT - Full'!A:E,2,FALSE)</f>
        <v>Can we restrict that access based on source IP address?</v>
      </c>
      <c r="D28" s="71">
        <f>VLOOKUP(B28,'HECVAT - Full'!A:E,4,FALSE)</f>
        <v>0</v>
      </c>
      <c r="E28" s="79" t="b">
        <f>IF(Table1[[#This Row],[Column11]]&gt;20,TRUE,FALSE)</f>
        <v>1</v>
      </c>
      <c r="F28" s="79" t="s">
        <v>92</v>
      </c>
      <c r="G28" s="98" t="s">
        <v>16</v>
      </c>
      <c r="H28" s="81">
        <f>IF(I27="Yes",1,0)</f>
        <v>0</v>
      </c>
      <c r="I28" s="94">
        <f>VLOOKUP(B28,'HECVAT - Full'!A:E,3,FALSE)</f>
        <v>0</v>
      </c>
      <c r="J28" s="71">
        <f>IF(OR(Table1[[#This Row],[Column7]]=Table1[[#This Row],[Column9]],Table1[[#This Row],[Column9]]="N/A"),1,0)</f>
        <v>0</v>
      </c>
      <c r="K28" s="71" t="str">
        <f>IF(Table1[[#This Row],[Column8]]=1,20,"")</f>
        <v/>
      </c>
      <c r="L28" s="71" t="str">
        <f>IF(Table1[[#This Row],[Column8]]=1,J28*K28,"")</f>
        <v/>
      </c>
      <c r="M28" s="72">
        <f>VLOOKUP($B28,'Standards Crosswalk'!$A:$H,3,FALSE)</f>
        <v>0</v>
      </c>
      <c r="N28" s="72">
        <f>VLOOKUP($B28,'Standards Crosswalk'!$A:$H,4,FALSE)</f>
        <v>0</v>
      </c>
      <c r="O28" s="72" t="str">
        <f>VLOOKUP($B28,'Standards Crosswalk'!$A:$H,5,FALSE)</f>
        <v>9</v>
      </c>
      <c r="P28" s="72" t="str">
        <f>VLOOKUP($B28,'Standards Crosswalk'!$A:$H,6,FALSE)</f>
        <v>ID.AM-6, PR.AT-3</v>
      </c>
      <c r="Q28" s="72">
        <f>VLOOKUP($B28,'Standards Crosswalk'!$A:$H,7,FALSE)</f>
        <v>0</v>
      </c>
      <c r="R28" s="72">
        <f>VLOOKUP($B28,'Standards Crosswalk'!$A:$H,8,FALSE)</f>
        <v>0</v>
      </c>
      <c r="S28" s="72">
        <f>VLOOKUP($B28,'Standards Crosswalk'!$A:$I,9,FALSE)</f>
        <v>0</v>
      </c>
    </row>
    <row r="29" spans="1:25" ht="409.6" thickBot="1" x14ac:dyDescent="0.2">
      <c r="A29" s="71">
        <f t="shared" si="1"/>
        <v>27</v>
      </c>
      <c r="B29" s="77" t="s">
        <v>194</v>
      </c>
      <c r="C29" s="78" t="str">
        <f>VLOOKUP(B29,'HECVAT - Full'!A:E,2,FALSE)</f>
        <v>Do you support role-based access control (RBAC) for end-users?</v>
      </c>
      <c r="D29" s="71" t="str">
        <f>VLOOKUP(B29,'HECVAT - Full'!A:E,4,FALSE)</f>
        <v>Access controls are highly customizable by an institution, but the default roles can be generally described this way:
1. Admin - Full access to control the organization, create groups, add/delete users, run reports
2. Manager - Send announcements
3. User - Standard app functions</v>
      </c>
      <c r="E29" s="79" t="b">
        <f>IF(Table1[[#This Row],[Column11]]&gt;20,TRUE,FALSE)</f>
        <v>1</v>
      </c>
      <c r="F29" s="86" t="s">
        <v>2028</v>
      </c>
      <c r="G29" s="80" t="s">
        <v>16</v>
      </c>
      <c r="H29" s="81">
        <v>1</v>
      </c>
      <c r="I29" s="71" t="str">
        <f>VLOOKUP(B29,'HECVAT - Full'!A:E,3,FALSE)</f>
        <v>Yes</v>
      </c>
      <c r="J29" s="71">
        <f>IF(Table1[[#This Row],[Column7]]=Table1[[#This Row],[Column9]],1,0)</f>
        <v>1</v>
      </c>
      <c r="K29" s="71">
        <f>IF(Table1[[#This Row],[Column8]]=1,25,"")</f>
        <v>25</v>
      </c>
      <c r="L29" s="71">
        <f>IF(Table1[[#This Row],[Column8]]=1,J29*K29,"")</f>
        <v>25</v>
      </c>
      <c r="M29" s="72" t="str">
        <f>VLOOKUP($B29,'Standards Crosswalk'!$A:$H,3,FALSE)</f>
        <v>CSC 18</v>
      </c>
      <c r="N29" s="72">
        <f>VLOOKUP($B29,'Standards Crosswalk'!$A:$H,4,FALSE)</f>
        <v>0</v>
      </c>
      <c r="O29" s="72">
        <f>VLOOKUP($B29,'Standards Crosswalk'!$A:$H,5,FALSE)</f>
        <v>0</v>
      </c>
      <c r="P29" s="72" t="str">
        <f>VLOOKUP($B29,'Standards Crosswalk'!$A:$H,6,FALSE)</f>
        <v>ID.AM-5</v>
      </c>
      <c r="Q29" s="72">
        <f>VLOOKUP($B29,'Standards Crosswalk'!$A:$H,7,FALSE)</f>
        <v>0</v>
      </c>
      <c r="R29" s="72">
        <f>VLOOKUP($B29,'Standards Crosswalk'!$A:$H,8,FALSE)</f>
        <v>0</v>
      </c>
      <c r="S29" s="72">
        <f>VLOOKUP($B29,'Standards Crosswalk'!$A:$I,9,FALSE)</f>
        <v>0</v>
      </c>
    </row>
    <row r="30" spans="1:25" ht="46" thickBot="1" x14ac:dyDescent="0.2">
      <c r="A30" s="71">
        <f t="shared" si="1"/>
        <v>28</v>
      </c>
      <c r="B30" s="77" t="s">
        <v>195</v>
      </c>
      <c r="C30" s="78" t="str">
        <f>VLOOKUP(B30,'HECVAT - Full'!A:E,2,FALSE)</f>
        <v>Do you support role-based access control (RBAC) for system administrators?</v>
      </c>
      <c r="D30" s="71" t="str">
        <f>VLOOKUP(B30,'HECVAT - Full'!A:E,4,FALSE)</f>
        <v>See above</v>
      </c>
      <c r="E30" s="79" t="b">
        <f>IF(Table1[[#This Row],[Column11]]&gt;20,TRUE,FALSE)</f>
        <v>1</v>
      </c>
      <c r="F30" s="86" t="s">
        <v>2028</v>
      </c>
      <c r="G30" s="80" t="s">
        <v>16</v>
      </c>
      <c r="H30" s="81">
        <v>1</v>
      </c>
      <c r="I30" s="71" t="str">
        <f>VLOOKUP(B30,'HECVAT - Full'!A:E,3,FALSE)</f>
        <v>Yes</v>
      </c>
      <c r="J30" s="71">
        <f>IF(Table1[[#This Row],[Column7]]=Table1[[#This Row],[Column9]],1,0)</f>
        <v>1</v>
      </c>
      <c r="K30" s="71">
        <f>IF(Table1[[#This Row],[Column8]]=1,25,"")</f>
        <v>25</v>
      </c>
      <c r="L30" s="71">
        <f>IF(Table1[[#This Row],[Column8]]=1,J30*K30,"")</f>
        <v>25</v>
      </c>
      <c r="M30" s="72" t="str">
        <f>VLOOKUP($B30,'Standards Crosswalk'!$A:$H,3,FALSE)</f>
        <v>CSC 2, CSC 3</v>
      </c>
      <c r="N30" s="72">
        <f>VLOOKUP($B30,'Standards Crosswalk'!$A:$H,4,FALSE)</f>
        <v>0</v>
      </c>
      <c r="O30" s="72" t="str">
        <f>VLOOKUP($B30,'Standards Crosswalk'!$A:$H,5,FALSE)</f>
        <v>11.2.6</v>
      </c>
      <c r="P30" s="72" t="str">
        <f>VLOOKUP($B30,'Standards Crosswalk'!$A:$H,6,FALSE)</f>
        <v>ID.AM-5</v>
      </c>
      <c r="Q30" s="72">
        <f>VLOOKUP($B30,'Standards Crosswalk'!$A:$H,7,FALSE)</f>
        <v>0</v>
      </c>
      <c r="R30" s="72">
        <f>VLOOKUP($B30,'Standards Crosswalk'!$A:$H,8,FALSE)</f>
        <v>0</v>
      </c>
      <c r="S30" s="72">
        <f>VLOOKUP($B30,'Standards Crosswalk'!$A:$I,9,FALSE)</f>
        <v>0</v>
      </c>
    </row>
    <row r="31" spans="1:25" ht="409.6" thickBot="1" x14ac:dyDescent="0.2">
      <c r="A31" s="71">
        <f t="shared" si="1"/>
        <v>29</v>
      </c>
      <c r="B31" s="77" t="s">
        <v>538</v>
      </c>
      <c r="C31" s="78" t="str">
        <f>VLOOKUP(B31,'HECVAT - Full'!A:E,2,FALSE)</f>
        <v>Can employees access customer data remotely?</v>
      </c>
      <c r="D31" s="71" t="str">
        <f>VLOOKUP(B31,'HECVAT - Full'!A:E,4,FALSE)</f>
        <v>Hit Labs is a remote work environment with employees distributed across North America. However, as described in our Information Security Policy we take great care to ensure the security of customer data. We follow the principle of least privilege to our production environment and require access via a secure VPN protected via hardware MFA tokens.</v>
      </c>
      <c r="E31" s="79" t="b">
        <f>IF(Table1[[#This Row],[Column11]]&gt;20,TRUE,FALSE)</f>
        <v>0</v>
      </c>
      <c r="F31" s="86" t="s">
        <v>2028</v>
      </c>
      <c r="G31" s="80" t="s">
        <v>16</v>
      </c>
      <c r="H31" s="81">
        <v>1</v>
      </c>
      <c r="I31" s="71" t="str">
        <f>VLOOKUP(B31,'HECVAT - Full'!A:E,3,FALSE)</f>
        <v>Yes</v>
      </c>
      <c r="J31" s="71">
        <f>IF(Table1[[#This Row],[Column7]]=Table1[[#This Row],[Column9]],1,0)</f>
        <v>1</v>
      </c>
      <c r="K31" s="71">
        <f>IF(Table1[[#This Row],[Column8]]=1,20,"")</f>
        <v>20</v>
      </c>
      <c r="L31" s="71">
        <f>IF(Table1[[#This Row],[Column8]]=1,J31*K31,"")</f>
        <v>20</v>
      </c>
      <c r="M31" s="72" t="str">
        <f>VLOOKUP($B31,'Standards Crosswalk'!$A:$H,3,FALSE)</f>
        <v>CSC 14</v>
      </c>
      <c r="N31" s="72">
        <f>VLOOKUP($B31,'Standards Crosswalk'!$A:$H,4,FALSE)</f>
        <v>0</v>
      </c>
      <c r="O31" s="72">
        <f>VLOOKUP($B31,'Standards Crosswalk'!$A:$H,5,FALSE)</f>
        <v>6.2</v>
      </c>
      <c r="P31" s="72" t="str">
        <f>VLOOKUP($B31,'Standards Crosswalk'!$A:$H,6,FALSE)</f>
        <v>PR.AC-3, PR.MA-2</v>
      </c>
      <c r="Q31" s="72" t="str">
        <f>VLOOKUP($B31,'Standards Crosswalk'!$A:$H,7,FALSE)</f>
        <v>3.1.2</v>
      </c>
      <c r="R31" s="72" t="str">
        <f>VLOOKUP($B31,'Standards Crosswalk'!$A:$H,8,FALSE)</f>
        <v>AC-17; NIST SP 800-46</v>
      </c>
      <c r="S31" s="72" t="str">
        <f>VLOOKUP($B31,'Standards Crosswalk'!$A:$I,9,FALSE)</f>
        <v>7.x</v>
      </c>
    </row>
    <row r="32" spans="1:25" ht="181" thickBot="1" x14ac:dyDescent="0.2">
      <c r="A32" s="71">
        <f t="shared" si="1"/>
        <v>30</v>
      </c>
      <c r="B32" s="77" t="s">
        <v>196</v>
      </c>
      <c r="C32" s="78" t="str">
        <f>VLOOKUP(B32,'HECVAT - Full'!A:E,2,FALSE)</f>
        <v>Can you provide overall system and/or application architecture diagrams including a full description of the data communications architecture for all components of the system?</v>
      </c>
      <c r="D32" s="71" t="str">
        <f>VLOOKUP(B32,'HECVAT - Full'!A:E,4,FALSE)</f>
        <v>Please see Pronto System Documentation and Pronto Network Diagram.</v>
      </c>
      <c r="E32" s="79" t="b">
        <f>IF(Table1[[#This Row],[Column11]]&gt;20,TRUE,FALSE)</f>
        <v>0</v>
      </c>
      <c r="F32" s="86" t="s">
        <v>2028</v>
      </c>
      <c r="G32" s="98" t="s">
        <v>16</v>
      </c>
      <c r="H32" s="81">
        <v>1</v>
      </c>
      <c r="I32" s="71" t="str">
        <f>VLOOKUP(B32,'HECVAT - Full'!A:E,3,FALSE)</f>
        <v>Yes</v>
      </c>
      <c r="J32" s="71">
        <f>IF(Table1[[#This Row],[Column7]]=Table1[[#This Row],[Column9]],1,0)</f>
        <v>1</v>
      </c>
      <c r="K32" s="71">
        <f>IF(Table1[[#This Row],[Column8]]=1,20,"")</f>
        <v>20</v>
      </c>
      <c r="L32" s="71">
        <f>IF(Table1[[#This Row],[Column8]]=1,J32*K32,"")</f>
        <v>20</v>
      </c>
      <c r="M32" s="72" t="str">
        <f>VLOOKUP($B32,'Standards Crosswalk'!$A:$H,3,FALSE)</f>
        <v>CSC16</v>
      </c>
      <c r="N32" s="72">
        <f>VLOOKUP($B32,'Standards Crosswalk'!$A:$H,4,FALSE)</f>
        <v>0</v>
      </c>
      <c r="O32" s="72" t="str">
        <f>VLOOKUP($B32,'Standards Crosswalk'!$A:$H,5,FALSE)</f>
        <v>9.1.1</v>
      </c>
      <c r="P32" s="72" t="str">
        <f>VLOOKUP($B32,'Standards Crosswalk'!$A:$H,6,FALSE)</f>
        <v>PR.AC-4, PR.PT-3</v>
      </c>
      <c r="Q32" s="72" t="str">
        <f>VLOOKUP($B32,'Standards Crosswalk'!$A:$H,7,FALSE)</f>
        <v>3.4.9</v>
      </c>
      <c r="R32" s="72" t="str">
        <f>VLOOKUP($B32,'Standards Crosswalk'!$A:$H,8,FALSE)</f>
        <v>CM-11</v>
      </c>
      <c r="S32" s="72" t="str">
        <f>VLOOKUP($B32,'Standards Crosswalk'!$A:$I,9,FALSE)</f>
        <v>7.x</v>
      </c>
    </row>
    <row r="33" spans="1:19" ht="46" thickBot="1" x14ac:dyDescent="0.2">
      <c r="A33" s="71">
        <f t="shared" si="1"/>
        <v>31</v>
      </c>
      <c r="B33" s="77" t="s">
        <v>197</v>
      </c>
      <c r="C33" s="78" t="str">
        <f>VLOOKUP(B33,'HECVAT - Full'!A:E,2,FALSE)</f>
        <v xml:space="preserve">Does the system provide data input validation and error messages? </v>
      </c>
      <c r="D33" s="71">
        <f>VLOOKUP(B33,'HECVAT - Full'!A:E,4,FALSE)</f>
        <v>0</v>
      </c>
      <c r="E33" s="79" t="b">
        <f>IF(Table1[[#This Row],[Column11]]&gt;20,TRUE,FALSE)</f>
        <v>0</v>
      </c>
      <c r="F33" s="86" t="s">
        <v>2028</v>
      </c>
      <c r="G33" s="98" t="s">
        <v>16</v>
      </c>
      <c r="H33" s="81">
        <v>1</v>
      </c>
      <c r="I33" s="71" t="str">
        <f>VLOOKUP(B33,'HECVAT - Full'!A:E,3,FALSE)</f>
        <v>Yes</v>
      </c>
      <c r="J33" s="71">
        <f>IF(Table1[[#This Row],[Column7]]=Table1[[#This Row],[Column9]],1,0)</f>
        <v>1</v>
      </c>
      <c r="K33" s="71">
        <f>IF(Table1[[#This Row],[Column8]]=1,20,"")</f>
        <v>20</v>
      </c>
      <c r="L33" s="71">
        <f>IF(Table1[[#This Row],[Column8]]=1,J33*K33,"")</f>
        <v>20</v>
      </c>
      <c r="M33" s="72" t="str">
        <f>VLOOKUP($B33,'Standards Crosswalk'!$A:$H,3,FALSE)</f>
        <v>CSC 18</v>
      </c>
      <c r="N33" s="72">
        <f>VLOOKUP($B33,'Standards Crosswalk'!$A:$H,4,FALSE)</f>
        <v>0</v>
      </c>
      <c r="O33" s="72">
        <f>VLOOKUP($B33,'Standards Crosswalk'!$A:$H,5,FALSE)</f>
        <v>0</v>
      </c>
      <c r="P33" s="72" t="str">
        <f>VLOOKUP($B33,'Standards Crosswalk'!$A:$H,6,FALSE)</f>
        <v>ID.AM-5</v>
      </c>
      <c r="Q33" s="72">
        <f>VLOOKUP($B33,'Standards Crosswalk'!$A:$H,7,FALSE)</f>
        <v>0</v>
      </c>
      <c r="R33" s="72">
        <f>VLOOKUP($B33,'Standards Crosswalk'!$A:$H,8,FALSE)</f>
        <v>0</v>
      </c>
      <c r="S33" s="72">
        <f>VLOOKUP($B33,'Standards Crosswalk'!$A:$I,9,FALSE)</f>
        <v>0</v>
      </c>
    </row>
    <row r="34" spans="1:19" ht="76" thickBot="1" x14ac:dyDescent="0.2">
      <c r="A34" s="71">
        <f t="shared" si="1"/>
        <v>32</v>
      </c>
      <c r="B34" s="77" t="s">
        <v>198</v>
      </c>
      <c r="C34" s="78" t="str">
        <f>VLOOKUP(B34,'HECVAT - Full'!A:E,2,FALSE)</f>
        <v xml:space="preserve">Do you employ a single-tenant environment? </v>
      </c>
      <c r="D34" s="71">
        <f>VLOOKUP(B34,'HECVAT - Full'!A:E,4,FALSE)</f>
        <v>0</v>
      </c>
      <c r="E34" s="79" t="b">
        <f>IF(Table1[[#This Row],[Column11]]&gt;20,TRUE,FALSE)</f>
        <v>1</v>
      </c>
      <c r="F34" s="86" t="s">
        <v>2028</v>
      </c>
      <c r="G34" s="98" t="s">
        <v>16</v>
      </c>
      <c r="H34" s="81">
        <v>1</v>
      </c>
      <c r="I34" s="71" t="str">
        <f>VLOOKUP(B34,'HECVAT - Full'!A:E,3,FALSE)</f>
        <v>No</v>
      </c>
      <c r="J34" s="71">
        <f>IF(Table1[[#This Row],[Column7]]=Table1[[#This Row],[Column9]],1,0)</f>
        <v>0</v>
      </c>
      <c r="K34" s="71">
        <f>IF(Table1[[#This Row],[Column8]]=1,25,"")</f>
        <v>25</v>
      </c>
      <c r="L34" s="71">
        <f>IF(Table1[[#This Row],[Column8]]=1,J34*K34,"")</f>
        <v>0</v>
      </c>
      <c r="M34" s="72" t="str">
        <f>VLOOKUP($B34,'Standards Crosswalk'!$A:$H,3,FALSE)</f>
        <v>CSC 12</v>
      </c>
      <c r="N34" s="72">
        <f>VLOOKUP($B34,'Standards Crosswalk'!$A:$H,4,FALSE)</f>
        <v>0</v>
      </c>
      <c r="O34" s="72">
        <f>VLOOKUP($B34,'Standards Crosswalk'!$A:$H,5,FALSE)</f>
        <v>6.2</v>
      </c>
      <c r="P34" s="72" t="str">
        <f>VLOOKUP($B34,'Standards Crosswalk'!$A:$H,6,FALSE)</f>
        <v>PR.PT-3</v>
      </c>
      <c r="Q34" s="72" t="str">
        <f>VLOOKUP($B34,'Standards Crosswalk'!$A:$H,7,FALSE)</f>
        <v>3.1.12, 3.1.13, 3.1.14, 3.1.14, 3.1.15, 3.1.8, 3.1.20, 3.7.5, 3.8.2, 3.13.7</v>
      </c>
      <c r="R34" s="72" t="str">
        <f>VLOOKUP($B34,'Standards Crosswalk'!$A:$H,8,FALSE)</f>
        <v>AC-3, CM-7; NIST SP 800-46</v>
      </c>
      <c r="S34" s="72">
        <f>VLOOKUP($B34,'Standards Crosswalk'!$A:$I,9,FALSE)</f>
        <v>0</v>
      </c>
    </row>
    <row r="35" spans="1:19" ht="136" thickBot="1" x14ac:dyDescent="0.2">
      <c r="A35" s="71">
        <f t="shared" si="1"/>
        <v>33</v>
      </c>
      <c r="B35" s="77" t="s">
        <v>199</v>
      </c>
      <c r="C35" s="78" t="str">
        <f>VLOOKUP(B35,'HECVAT - Full'!A:E,2,FALSE)</f>
        <v>What operating system(s) is/are leveraged by the system(s)/application(s) that will have access to institution's data?</v>
      </c>
      <c r="D35" s="71">
        <f>VLOOKUP(B35,'HECVAT - Full'!A:E,4,FALSE)</f>
        <v>0</v>
      </c>
      <c r="E35" s="79" t="b">
        <f>IF(Table1[[#This Row],[Column11]]&gt;20,TRUE,FALSE)</f>
        <v>0</v>
      </c>
      <c r="F35" s="86" t="s">
        <v>2028</v>
      </c>
      <c r="G35" s="80"/>
      <c r="H35" s="81">
        <v>1</v>
      </c>
      <c r="I35" s="71" t="str">
        <f>VLOOKUP(B35,'HECVAT - Full'!A:E,3,FALSE)</f>
        <v>CentOS, AWS Linux, Ubuntu</v>
      </c>
      <c r="J35" s="71">
        <f>IF(VLOOKUP(Table1[[#This Row],[Column2]],'Analyst Report'!$A$41:$G$88,7,FALSE)="Yes",1,0)</f>
        <v>0</v>
      </c>
      <c r="K35" s="71">
        <f>IF(Table1[[#This Row],[Column8]]=1,20,"")</f>
        <v>20</v>
      </c>
      <c r="L35" s="71">
        <f>IF(Table1[[#This Row],[Column8]]=1,J35*K35,"")</f>
        <v>0</v>
      </c>
      <c r="M35" s="72" t="str">
        <f>VLOOKUP($B35,'Standards Crosswalk'!$A:$H,3,FALSE)</f>
        <v>CSC 2</v>
      </c>
      <c r="N35" s="72">
        <f>VLOOKUP($B35,'Standards Crosswalk'!$A:$H,4,FALSE)</f>
        <v>0</v>
      </c>
      <c r="O35" s="72" t="str">
        <f>VLOOKUP($B35,'Standards Crosswalk'!$A:$H,5,FALSE)</f>
        <v>12.5.1</v>
      </c>
      <c r="P35" s="72" t="str">
        <f>VLOOKUP($B35,'Standards Crosswalk'!$A:$H,6,FALSE)</f>
        <v>PR.PT-3</v>
      </c>
      <c r="Q35" s="72">
        <f>VLOOKUP($B35,'Standards Crosswalk'!$A:$H,7,FALSE)</f>
        <v>0</v>
      </c>
      <c r="R35" s="72" t="str">
        <f>VLOOKUP($B35,'Standards Crosswalk'!$A:$H,8,FALSE)</f>
        <v>AC-17; NIST SP 800-46</v>
      </c>
      <c r="S35" s="72">
        <f>VLOOKUP($B35,'Standards Crosswalk'!$A:$I,9,FALSE)</f>
        <v>0</v>
      </c>
    </row>
    <row r="36" spans="1:19" ht="409.6" thickBot="1" x14ac:dyDescent="0.2">
      <c r="A36" s="71">
        <f t="shared" si="1"/>
        <v>34</v>
      </c>
      <c r="B36" s="77" t="s">
        <v>200</v>
      </c>
      <c r="C36" s="78" t="str">
        <f>VLOOKUP(B36,'HECVAT - Full'!A:E,2,FALSE)</f>
        <v>Have you or any third party you contract with that may have access or allow access to the institution's data experienced a breach?</v>
      </c>
      <c r="D36" s="71">
        <f>VLOOKUP(B36,'HECVAT - Full'!A:E,4,FALSE)</f>
        <v>0</v>
      </c>
      <c r="E36" s="79" t="b">
        <f>IF(Table1[[#This Row],[Column11]]&gt;20,TRUE,FALSE)</f>
        <v>1</v>
      </c>
      <c r="F36" s="86" t="s">
        <v>2028</v>
      </c>
      <c r="G36" s="80" t="s">
        <v>19</v>
      </c>
      <c r="H36" s="81">
        <v>1</v>
      </c>
      <c r="I36" s="71" t="str">
        <f>VLOOKUP(B36,'HECVAT - Full'!A:E,3,FALSE)</f>
        <v>No</v>
      </c>
      <c r="J36" s="71">
        <f>IF(Table1[[#This Row],[Column7]]=Table1[[#This Row],[Column9]],1,0)</f>
        <v>1</v>
      </c>
      <c r="K36" s="71">
        <f>IF(Table1[[#This Row],[Column8]]=1,25,"")</f>
        <v>25</v>
      </c>
      <c r="L36" s="71">
        <f>IF(Table1[[#This Row],[Column8]]=1,J36*K36,"")</f>
        <v>25</v>
      </c>
      <c r="M36" s="72">
        <f>VLOOKUP($B36,'Standards Crosswalk'!$A:$H,3,FALSE)</f>
        <v>0</v>
      </c>
      <c r="N36" s="72">
        <f>VLOOKUP($B36,'Standards Crosswalk'!$A:$H,4,FALSE)</f>
        <v>0</v>
      </c>
      <c r="O36" s="72">
        <f>VLOOKUP($B36,'Standards Crosswalk'!$A:$H,5,FALSE)</f>
        <v>16</v>
      </c>
      <c r="P36" s="72">
        <f>VLOOKUP($B36,'Standards Crosswalk'!$A:$H,6,FALSE)</f>
        <v>0</v>
      </c>
      <c r="Q36" s="72">
        <f>VLOOKUP($B36,'Standards Crosswalk'!$A:$H,7,FALSE)</f>
        <v>0</v>
      </c>
      <c r="R36" s="72">
        <f>VLOOKUP($B36,'Standards Crosswalk'!$A:$H,8,FALSE)</f>
        <v>0</v>
      </c>
      <c r="S36" s="72" t="str">
        <f>VLOOKUP($B36,'Standards Crosswalk'!$A:$I,9,FALSE)</f>
        <v>12.8, 4.2</v>
      </c>
    </row>
    <row r="37" spans="1:19" ht="409.6" thickBot="1" x14ac:dyDescent="0.2">
      <c r="A37" s="71">
        <f t="shared" si="1"/>
        <v>35</v>
      </c>
      <c r="B37" s="77" t="s">
        <v>201</v>
      </c>
      <c r="C37" s="78" t="str">
        <f>VLOOKUP(B37,'HECVAT - Full'!A:E,2,FALSE)</f>
        <v xml:space="preserve">Describe or provide a reference to additional software/products necessary to implement a functional system on either the backend or user-interface side of the system. </v>
      </c>
      <c r="D37" s="71">
        <f>VLOOKUP(B37,'HECVAT - Full'!A:E,4,FALSE)</f>
        <v>0</v>
      </c>
      <c r="E37" s="79" t="b">
        <f>IF(Table1[[#This Row],[Column11]]&gt;20,TRUE,FALSE)</f>
        <v>0</v>
      </c>
      <c r="F37" s="86" t="s">
        <v>2028</v>
      </c>
      <c r="G37" s="80"/>
      <c r="H37" s="81">
        <v>1</v>
      </c>
      <c r="I37" s="71" t="str">
        <f>VLOOKUP(B37,'HECVAT - Full'!A:E,3,FALSE)</f>
        <v>To access Pronto via the web, a modern web browser is required. There are also minimum OS requirements for the mobile app on iOS and Android. Please see the individual App Store and Play Store listings for up-to-date information on miminum system requirements.</v>
      </c>
      <c r="J37" s="71">
        <f>IF(VLOOKUP(Table1[[#This Row],[Column2]],'Analyst Report'!$A$41:$G$88,7,FALSE)="Yes",1,0)</f>
        <v>0</v>
      </c>
      <c r="K37" s="71">
        <f>IF(Table1[[#This Row],[Column8]]=1,15,"")</f>
        <v>15</v>
      </c>
      <c r="L37" s="71">
        <f>IF(Table1[[#This Row],[Column8]]=1,J37*K37,"")</f>
        <v>0</v>
      </c>
      <c r="M37" s="72" t="str">
        <f>VLOOKUP($B37,'Standards Crosswalk'!$A:$H,3,FALSE)</f>
        <v>CSC 2</v>
      </c>
      <c r="N37" s="72">
        <f>VLOOKUP($B37,'Standards Crosswalk'!$A:$H,4,FALSE)</f>
        <v>0</v>
      </c>
      <c r="O37" s="72" t="str">
        <f>VLOOKUP($B37,'Standards Crosswalk'!$A:$H,5,FALSE)</f>
        <v>12.5.1</v>
      </c>
      <c r="P37" s="72" t="str">
        <f>VLOOKUP($B37,'Standards Crosswalk'!$A:$H,6,FALSE)</f>
        <v>ID.AM-2</v>
      </c>
      <c r="Q37" s="72">
        <f>VLOOKUP($B37,'Standards Crosswalk'!$A:$H,7,FALSE)</f>
        <v>0</v>
      </c>
      <c r="R37" s="72">
        <f>VLOOKUP($B37,'Standards Crosswalk'!$A:$H,8,FALSE)</f>
        <v>0</v>
      </c>
      <c r="S37" s="72">
        <f>VLOOKUP($B37,'Standards Crosswalk'!$A:$I,9,FALSE)</f>
        <v>0</v>
      </c>
    </row>
    <row r="38" spans="1:19" ht="385" thickBot="1" x14ac:dyDescent="0.2">
      <c r="A38" s="71">
        <f t="shared" si="1"/>
        <v>36</v>
      </c>
      <c r="B38" s="77" t="s">
        <v>202</v>
      </c>
      <c r="C38" s="78"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71">
        <f>VLOOKUP(B38,'HECVAT - Full'!A:E,4,FALSE)</f>
        <v>0</v>
      </c>
      <c r="E38" s="79" t="b">
        <f>IF(Table1[[#This Row],[Column11]]&gt;20,TRUE,FALSE)</f>
        <v>1</v>
      </c>
      <c r="F38" s="86" t="s">
        <v>2028</v>
      </c>
      <c r="G38" s="80"/>
      <c r="H38" s="81">
        <v>1</v>
      </c>
      <c r="I38" s="71" t="str">
        <f>VLOOKUP(B38,'HECVAT - Full'!A:E,3,FALSE)</f>
        <v>Please see the Pronto System Documentation and Pronto Network Diagram documents.</v>
      </c>
      <c r="J38" s="71">
        <f>IF(VLOOKUP(Table1[[#This Row],[Column2]],'Analyst Report'!$A$41:$G$88,7,FALSE)="Yes",1,0)</f>
        <v>0</v>
      </c>
      <c r="K38" s="71">
        <f>IF(Table1[[#This Row],[Column8]]=1,25,"")</f>
        <v>25</v>
      </c>
      <c r="L38" s="71">
        <f>IF(Table1[[#This Row],[Column8]]=1,J38*K38,"")</f>
        <v>0</v>
      </c>
      <c r="M38" s="72" t="str">
        <f>VLOOKUP($B38,'Standards Crosswalk'!$A:$H,3,FALSE)</f>
        <v>CSC 2</v>
      </c>
      <c r="N38" s="72">
        <f>VLOOKUP($B38,'Standards Crosswalk'!$A:$H,4,FALSE)</f>
        <v>0</v>
      </c>
      <c r="O38" s="72" t="str">
        <f>VLOOKUP($B38,'Standards Crosswalk'!$A:$H,5,FALSE)</f>
        <v>12.1.1</v>
      </c>
      <c r="P38" s="72" t="str">
        <f>VLOOKUP($B38,'Standards Crosswalk'!$A:$H,6,FALSE)</f>
        <v>ID.AM-1, ID.AM-2, ID.AM-4</v>
      </c>
      <c r="Q38" s="72">
        <f>VLOOKUP($B38,'Standards Crosswalk'!$A:$H,7,FALSE)</f>
        <v>0</v>
      </c>
      <c r="R38" s="72" t="str">
        <f>VLOOKUP($B38,'Standards Crosswalk'!$A:$H,8,FALSE)</f>
        <v>CA-9, SC-4</v>
      </c>
      <c r="S38" s="72">
        <f>VLOOKUP($B38,'Standards Crosswalk'!$A:$I,9,FALSE)</f>
        <v>2.4</v>
      </c>
    </row>
    <row r="39" spans="1:19" ht="409.6" thickBot="1" x14ac:dyDescent="0.2">
      <c r="A39" s="71">
        <f t="shared" si="1"/>
        <v>37</v>
      </c>
      <c r="B39" s="77" t="s">
        <v>203</v>
      </c>
      <c r="C39" s="78" t="str">
        <f>VLOOKUP(B39,'HECVAT - Full'!A:E,2,FALSE)</f>
        <v>Are databases used in the system segregated from front-end systems? (e.g. web and application servers)</v>
      </c>
      <c r="D39" s="71" t="str">
        <f>VLOOKUP(B39,'HECVAT - Full'!A:E,4,FALSE)</f>
        <v>Hit Labs uses a variety of databases for different functions, all of which are segregated from front-end systems and have strict security group rules that prevent access from outside the network except via a secure VPN.</v>
      </c>
      <c r="E39" s="79" t="b">
        <f>IF(Table1[[#This Row],[Column11]]&gt;20,TRUE,FALSE)</f>
        <v>1</v>
      </c>
      <c r="F39" s="86" t="s">
        <v>2028</v>
      </c>
      <c r="G39" s="98" t="s">
        <v>16</v>
      </c>
      <c r="H39" s="81">
        <v>1</v>
      </c>
      <c r="I39" s="71" t="str">
        <f>VLOOKUP(B39,'HECVAT - Full'!A:E,3,FALSE)</f>
        <v>Yes</v>
      </c>
      <c r="J39" s="71">
        <f>IF(Table1[[#This Row],[Column7]]=Table1[[#This Row],[Column9]],1,0)</f>
        <v>1</v>
      </c>
      <c r="K39" s="71">
        <f>IF(Table1[[#This Row],[Column8]]=1,40,"")</f>
        <v>40</v>
      </c>
      <c r="L39" s="71">
        <f>IF(Table1[[#This Row],[Column8]]=1,J39*K39,"")</f>
        <v>40</v>
      </c>
      <c r="M39" s="72" t="str">
        <f>VLOOKUP($B39,'Standards Crosswalk'!$A:$H,3,FALSE)</f>
        <v>CSC 13</v>
      </c>
      <c r="N39" s="72">
        <f>VLOOKUP($B39,'Standards Crosswalk'!$A:$H,4,FALSE)</f>
        <v>0</v>
      </c>
      <c r="O39" s="72" t="str">
        <f>VLOOKUP($B39,'Standards Crosswalk'!$A:$H,5,FALSE)</f>
        <v>12.1.4</v>
      </c>
      <c r="P39" s="72">
        <f>VLOOKUP($B39,'Standards Crosswalk'!$A:$H,6,FALSE)</f>
        <v>0</v>
      </c>
      <c r="Q39" s="72">
        <f>VLOOKUP($B39,'Standards Crosswalk'!$A:$H,7,FALSE)</f>
        <v>0</v>
      </c>
      <c r="R39" s="72">
        <f>VLOOKUP($B39,'Standards Crosswalk'!$A:$H,8,FALSE)</f>
        <v>0</v>
      </c>
      <c r="S39" s="72">
        <f>VLOOKUP($B39,'Standards Crosswalk'!$A:$I,9,FALSE)</f>
        <v>0</v>
      </c>
    </row>
    <row r="40" spans="1:19" ht="409.6" thickBot="1" x14ac:dyDescent="0.2">
      <c r="A40" s="71">
        <f t="shared" si="1"/>
        <v>38</v>
      </c>
      <c r="B40" s="95" t="s">
        <v>204</v>
      </c>
      <c r="C40" s="78" t="str">
        <f>VLOOKUP(B40,'HECVAT - Full'!A:E,2,FALSE)</f>
        <v xml:space="preserve">Describe or provide a reference to all web-enabled features and functionality of the system (i.e. accessed via a web-based interface). </v>
      </c>
      <c r="D40" s="71">
        <f>VLOOKUP(B40,'HECVAT - Full'!A:E,4,FALSE)</f>
        <v>0</v>
      </c>
      <c r="E40" s="79" t="b">
        <f>IF(Table1[[#This Row],[Column11]]&gt;20,TRUE,FALSE)</f>
        <v>0</v>
      </c>
      <c r="F40" s="86" t="s">
        <v>2028</v>
      </c>
      <c r="G40" s="80" t="s">
        <v>19</v>
      </c>
      <c r="H40" s="81">
        <v>1</v>
      </c>
      <c r="I40" s="71" t="str">
        <f>VLOOKUP(B40,'HECVAT - Full'!A:E,3,FALSE)</f>
        <v>Please visit https://support.pronto.io to find a series of support articles that describe Pronto's functionality.</v>
      </c>
      <c r="J40" s="71">
        <f>IF(VLOOKUP(Table1[[#This Row],[Column2]],'Analyst Report'!$A$41:$G$88,7,FALSE)="Yes",1,0)</f>
        <v>0</v>
      </c>
      <c r="K40" s="71">
        <f>IF(Table1[[#This Row],[Column8]]=1,10,"")</f>
        <v>10</v>
      </c>
      <c r="L40" s="71">
        <f>IF(Table1[[#This Row],[Column8]]=1,J40*K40,"")</f>
        <v>0</v>
      </c>
      <c r="M40" s="72" t="str">
        <f>VLOOKUP($B40,'Standards Crosswalk'!$A:$H,3,FALSE)</f>
        <v>CSC 7</v>
      </c>
      <c r="N40" s="72">
        <f>VLOOKUP($B40,'Standards Crosswalk'!$A:$H,4,FALSE)</f>
        <v>0</v>
      </c>
      <c r="O40" s="72" t="str">
        <f>VLOOKUP($B40,'Standards Crosswalk'!$A:$H,5,FALSE)</f>
        <v>12.1.1</v>
      </c>
      <c r="P40" s="72">
        <f>VLOOKUP($B40,'Standards Crosswalk'!$A:$H,6,FALSE)</f>
        <v>0</v>
      </c>
      <c r="Q40" s="72">
        <f>VLOOKUP($B40,'Standards Crosswalk'!$A:$H,7,FALSE)</f>
        <v>0</v>
      </c>
      <c r="R40" s="72">
        <f>VLOOKUP($B40,'Standards Crosswalk'!$A:$H,8,FALSE)</f>
        <v>0</v>
      </c>
      <c r="S40" s="72">
        <f>VLOOKUP($B40,'Standards Crosswalk'!$A:$I,9,FALSE)</f>
        <v>0</v>
      </c>
    </row>
    <row r="41" spans="1:19" ht="196" thickBot="1" x14ac:dyDescent="0.2">
      <c r="A41" s="71">
        <f t="shared" si="1"/>
        <v>39</v>
      </c>
      <c r="B41" s="77" t="s">
        <v>205</v>
      </c>
      <c r="C41" s="78" t="str">
        <f>VLOOKUP(B41,'HECVAT - Full'!A:E,2,FALSE)</f>
        <v>Are there any OS and/or web-browser combinations that are not currently supported?</v>
      </c>
      <c r="D41" s="71" t="str">
        <f>VLOOKUP(B41,'HECVAT - Full'!A:E,4,FALSE)</f>
        <v>Unsupported browsers include Internet Explorer and Non-Chromium Edge.</v>
      </c>
      <c r="E41" s="79" t="b">
        <f>IF(Table1[[#This Row],[Column11]]&gt;20,TRUE,FALSE)</f>
        <v>0</v>
      </c>
      <c r="F41" s="86" t="s">
        <v>2028</v>
      </c>
      <c r="G41" s="80" t="s">
        <v>19</v>
      </c>
      <c r="H41" s="81">
        <v>1</v>
      </c>
      <c r="I41" s="71" t="str">
        <f>VLOOKUP(B41,'HECVAT - Full'!A:E,3,FALSE)</f>
        <v>Yes</v>
      </c>
      <c r="J41" s="71">
        <f>IF(VLOOKUP(Table1[[#This Row],[Column2]],'Analyst Report'!$A$41:$G$88,7,FALSE)="Yes",1,0)</f>
        <v>0</v>
      </c>
      <c r="K41" s="71">
        <f>IF(Table1[[#This Row],[Column8]]=1,15,"")</f>
        <v>15</v>
      </c>
      <c r="L41" s="71">
        <f>IF(Table1[[#This Row],[Column8]]=1,J41*K41,"")</f>
        <v>0</v>
      </c>
      <c r="M41" s="72" t="str">
        <f>VLOOKUP($B41,'Standards Crosswalk'!$A:$H,3,FALSE)</f>
        <v>CSC 7</v>
      </c>
      <c r="N41" s="72">
        <f>VLOOKUP($B41,'Standards Crosswalk'!$A:$H,4,FALSE)</f>
        <v>0</v>
      </c>
      <c r="O41" s="72" t="str">
        <f>VLOOKUP($B41,'Standards Crosswalk'!$A:$H,5,FALSE)</f>
        <v>12.5.1</v>
      </c>
      <c r="P41" s="72">
        <f>VLOOKUP($B41,'Standards Crosswalk'!$A:$H,6,FALSE)</f>
        <v>0</v>
      </c>
      <c r="Q41" s="72">
        <f>VLOOKUP($B41,'Standards Crosswalk'!$A:$H,7,FALSE)</f>
        <v>0</v>
      </c>
      <c r="R41" s="72">
        <f>VLOOKUP($B41,'Standards Crosswalk'!$A:$H,8,FALSE)</f>
        <v>0</v>
      </c>
      <c r="S41" s="72">
        <f>VLOOKUP($B41,'Standards Crosswalk'!$A:$I,9,FALSE)</f>
        <v>0</v>
      </c>
    </row>
    <row r="42" spans="1:19" ht="211" thickBot="1" x14ac:dyDescent="0.2">
      <c r="A42" s="71">
        <f t="shared" si="1"/>
        <v>40</v>
      </c>
      <c r="B42" s="77" t="s">
        <v>206</v>
      </c>
      <c r="C42" s="78" t="str">
        <f>VLOOKUP(B42,'HECVAT - Full'!A:E,2,FALSE)</f>
        <v xml:space="preserve">Can your system take advantage of mobile and/or GPS enabled mobile devices?  </v>
      </c>
      <c r="D42" s="71" t="str">
        <f>VLOOKUP(B42,'HECVAT - Full'!A:E,4,FALSE)</f>
        <v>Pronto runs on mobile devices but does NOT ask for permission to use GPS location data.</v>
      </c>
      <c r="E42" s="79" t="b">
        <f>IF(Table1[[#This Row],[Column11]]&gt;20,TRUE,FALSE)</f>
        <v>1</v>
      </c>
      <c r="F42" s="86" t="s">
        <v>2028</v>
      </c>
      <c r="G42" s="80" t="s">
        <v>16</v>
      </c>
      <c r="H42" s="81">
        <v>1</v>
      </c>
      <c r="I42" s="71" t="str">
        <f>VLOOKUP(B42,'HECVAT - Full'!A:E,3,FALSE)</f>
        <v>Yes</v>
      </c>
      <c r="J42" s="71">
        <f>IF(Table1[[#This Row],[Column7]]=Table1[[#This Row],[Column9]],1,0)</f>
        <v>1</v>
      </c>
      <c r="K42" s="71">
        <f>IF(Table1[[#This Row],[Column8]]=1,25,"")</f>
        <v>25</v>
      </c>
      <c r="L42" s="71">
        <f>IF(Table1[[#This Row],[Column8]]=1,J42*K42,"")</f>
        <v>25</v>
      </c>
      <c r="M42" s="72" t="str">
        <f>VLOOKUP($B42,'Standards Crosswalk'!$A:$H,3,FALSE)</f>
        <v>CSC 2</v>
      </c>
      <c r="N42" s="72">
        <f>VLOOKUP($B42,'Standards Crosswalk'!$A:$H,4,FALSE)</f>
        <v>0</v>
      </c>
      <c r="O42" s="72">
        <f>VLOOKUP($B42,'Standards Crosswalk'!$A:$H,5,FALSE)</f>
        <v>0</v>
      </c>
      <c r="P42" s="72">
        <f>VLOOKUP($B42,'Standards Crosswalk'!$A:$H,6,FALSE)</f>
        <v>0</v>
      </c>
      <c r="Q42" s="72">
        <f>VLOOKUP($B42,'Standards Crosswalk'!$A:$H,7,FALSE)</f>
        <v>0</v>
      </c>
      <c r="R42" s="72">
        <f>VLOOKUP($B42,'Standards Crosswalk'!$A:$H,8,FALSE)</f>
        <v>0</v>
      </c>
      <c r="S42" s="72">
        <f>VLOOKUP($B42,'Standards Crosswalk'!$A:$I,9,FALSE)</f>
        <v>0</v>
      </c>
    </row>
    <row r="43" spans="1:19" ht="226" thickBot="1" x14ac:dyDescent="0.2">
      <c r="A43" s="71">
        <f t="shared" si="1"/>
        <v>41</v>
      </c>
      <c r="B43" s="77" t="s">
        <v>539</v>
      </c>
      <c r="C43" s="78" t="str">
        <f>VLOOKUP(B43,'HECVAT - Full'!A:E,2,FALSE)</f>
        <v>Describe or provide a reference to the facilities available in the system to provide separation of duties between security administration and system administration functions.</v>
      </c>
      <c r="D43" s="71">
        <f>VLOOKUP(B43,'HECVAT - Full'!A:E,4,FALSE)</f>
        <v>0</v>
      </c>
      <c r="E43" s="79" t="b">
        <f>IF(Table1[[#This Row],[Column11]]&gt;20,TRUE,FALSE)</f>
        <v>1</v>
      </c>
      <c r="F43" s="86" t="s">
        <v>2028</v>
      </c>
      <c r="G43" s="80" t="s">
        <v>16</v>
      </c>
      <c r="H43" s="81">
        <v>1</v>
      </c>
      <c r="I43" s="71" t="str">
        <f>VLOOKUP(B43,'HECVAT - Full'!A:E,3,FALSE)</f>
        <v>Please see the Information Security Policy document</v>
      </c>
      <c r="J43" s="71">
        <f>IF(VLOOKUP(Table1[[#This Row],[Column2]],'Analyst Report'!$A$41:$G$88,7,FALSE)="Yes",1,0)</f>
        <v>0</v>
      </c>
      <c r="K43" s="71">
        <f>IF(Table1[[#This Row],[Column8]]=1,25,"")</f>
        <v>25</v>
      </c>
      <c r="L43" s="71">
        <f>IF(Table1[[#This Row],[Column8]]=1,J43*K43,"")</f>
        <v>0</v>
      </c>
      <c r="M43" s="72" t="str">
        <f>VLOOKUP($B43,'Standards Crosswalk'!$A:$H,3,FALSE)</f>
        <v>CSC 14</v>
      </c>
      <c r="N43" s="72">
        <f>VLOOKUP($B43,'Standards Crosswalk'!$A:$H,4,FALSE)</f>
        <v>0</v>
      </c>
      <c r="O43" s="72" t="str">
        <f>VLOOKUP($B43,'Standards Crosswalk'!$A:$H,5,FALSE)</f>
        <v>9.2.3, 12.1.4</v>
      </c>
      <c r="P43" s="72" t="str">
        <f>VLOOKUP($B43,'Standards Crosswalk'!$A:$H,6,FALSE)</f>
        <v>PR.AC-4, PR.PT-3</v>
      </c>
      <c r="Q43" s="72" t="str">
        <f>VLOOKUP($B43,'Standards Crosswalk'!$A:$H,7,FALSE)</f>
        <v>3.1.4</v>
      </c>
      <c r="R43" s="72" t="str">
        <f>VLOOKUP($B43,'Standards Crosswalk'!$A:$H,8,FALSE)</f>
        <v>AC-5</v>
      </c>
      <c r="S43" s="72" t="str">
        <f>VLOOKUP($B43,'Standards Crosswalk'!$A:$I,9,FALSE)</f>
        <v>12.x</v>
      </c>
    </row>
    <row r="44" spans="1:19" ht="226" thickBot="1" x14ac:dyDescent="0.2">
      <c r="A44" s="71">
        <f t="shared" si="1"/>
        <v>42</v>
      </c>
      <c r="B44" s="77" t="s">
        <v>207</v>
      </c>
      <c r="C44" s="78" t="str">
        <f>VLOOKUP(B44,'HECVAT - Full'!A:E,2,FALSE)</f>
        <v>Describe or provide a reference that details how administrator access is handled (e.g. provisioning, principle of least privilege, deprovisioning, etc.)</v>
      </c>
      <c r="D44" s="71">
        <f>VLOOKUP(B44,'HECVAT - Full'!A:E,4,FALSE)</f>
        <v>0</v>
      </c>
      <c r="E44" s="79" t="b">
        <f>IF(Table1[[#This Row],[Column11]]&gt;20,TRUE,FALSE)</f>
        <v>1</v>
      </c>
      <c r="F44" s="86" t="s">
        <v>2028</v>
      </c>
      <c r="G44" s="80" t="s">
        <v>16</v>
      </c>
      <c r="H44" s="81">
        <v>1</v>
      </c>
      <c r="I44" s="71" t="str">
        <f>VLOOKUP(B44,'HECVAT - Full'!A:E,3,FALSE)</f>
        <v>Please see the Information Security Policy document</v>
      </c>
      <c r="J44" s="71">
        <f>IF(VLOOKUP(Table1[[#This Row],[Column2]],'Analyst Report'!$A$41:$G$88,7,FALSE)="Yes",1,0)</f>
        <v>0</v>
      </c>
      <c r="K44" s="71">
        <f>IF(Table1[[#This Row],[Column8]]=1,25,"")</f>
        <v>25</v>
      </c>
      <c r="L44" s="71">
        <f>IF(Table1[[#This Row],[Column8]]=1,J44*K44,"")</f>
        <v>0</v>
      </c>
      <c r="M44" s="72" t="str">
        <f>VLOOKUP($B44,'Standards Crosswalk'!$A:$H,3,FALSE)</f>
        <v>CSC 5</v>
      </c>
      <c r="N44" s="72">
        <f>VLOOKUP($B44,'Standards Crosswalk'!$A:$H,4,FALSE)</f>
        <v>0</v>
      </c>
      <c r="O44" s="72">
        <f>VLOOKUP($B44,'Standards Crosswalk'!$A:$H,5,FALSE)</f>
        <v>9.1999999999999993</v>
      </c>
      <c r="P44" s="72" t="str">
        <f>VLOOKUP($B44,'Standards Crosswalk'!$A:$H,6,FALSE)</f>
        <v>PR.AC-4, PR.PT-3</v>
      </c>
      <c r="Q44" s="72" t="str">
        <f>VLOOKUP($B44,'Standards Crosswalk'!$A:$H,7,FALSE)</f>
        <v>3.1.1, 3.1.5, 3.1.6, 3.7.1, 3.7.2</v>
      </c>
      <c r="R44" s="72" t="str">
        <f>VLOOKUP($B44,'Standards Crosswalk'!$A:$H,8,FALSE)</f>
        <v>AC-2, AC-3, AC-6, MA-2, MA-3</v>
      </c>
      <c r="S44" s="72" t="str">
        <f>VLOOKUP($B44,'Standards Crosswalk'!$A:$I,9,FALSE)</f>
        <v>7.x, 8.x</v>
      </c>
    </row>
    <row r="45" spans="1:19" ht="409.6" thickBot="1" x14ac:dyDescent="0.2">
      <c r="A45" s="71">
        <f t="shared" si="1"/>
        <v>43</v>
      </c>
      <c r="B45" s="77" t="s">
        <v>208</v>
      </c>
      <c r="C45" s="78" t="str">
        <f>VLOOKUP(B45,'HECVAT - Full'!A:E,2,FALSE)</f>
        <v>Describe or provide references explaining how tertiary services are redundant (i.e. DNS, ISP, etc.).</v>
      </c>
      <c r="D45" s="71">
        <f>VLOOKUP(B45,'HECVAT - Full'!A:E,4,FALSE)</f>
        <v>0</v>
      </c>
      <c r="E45" s="79" t="b">
        <f>IF(Table1[[#This Row],[Column11]]&gt;20,TRUE,FALSE)</f>
        <v>0</v>
      </c>
      <c r="F45" s="86" t="s">
        <v>2028</v>
      </c>
      <c r="G45" s="80" t="s">
        <v>16</v>
      </c>
      <c r="H45" s="81">
        <v>1</v>
      </c>
      <c r="I45" s="71" t="str">
        <f>VLOOKUP(B45,'HECVAT - Full'!A:E,3,FALSE)</f>
        <v xml:space="preserve">All services in AWS are redundant within AWS (e.g. load balancers, EC2 servers, Route53 DNS). Tertiary services are not redundant, e.g. one domain name, one logging service, one off-site backup service. Those services may or may not include redundancy within their own implementations.	</v>
      </c>
      <c r="J45" s="71">
        <f>IF(VLOOKUP(Table1[[#This Row],[Column2]],'Analyst Report'!$A$41:$G$88,7,FALSE)="Yes",1,0)</f>
        <v>0</v>
      </c>
      <c r="K45" s="71">
        <f>IF(Table1[[#This Row],[Column8]]=1,15,"")</f>
        <v>15</v>
      </c>
      <c r="L45" s="71">
        <f>IF(Table1[[#This Row],[Column8]]=1,J45*K45,"")</f>
        <v>0</v>
      </c>
      <c r="M45" s="72" t="str">
        <f>VLOOKUP($B45,'Standards Crosswalk'!$A:$H,3,FALSE)</f>
        <v>CSC 14</v>
      </c>
      <c r="N45" s="72">
        <f>VLOOKUP($B45,'Standards Crosswalk'!$A:$H,4,FALSE)</f>
        <v>0</v>
      </c>
      <c r="O45" s="72" t="str">
        <f>VLOOKUP($B45,'Standards Crosswalk'!$A:$H,5,FALSE)</f>
        <v>9.1.1</v>
      </c>
      <c r="P45" s="72" t="str">
        <f>VLOOKUP($B45,'Standards Crosswalk'!$A:$H,6,FALSE)</f>
        <v>PR.AC-4</v>
      </c>
      <c r="Q45" s="72" t="str">
        <f>VLOOKUP($B45,'Standards Crosswalk'!$A:$H,7,FALSE)</f>
        <v>3.1.2</v>
      </c>
      <c r="R45" s="72">
        <f>VLOOKUP($B45,'Standards Crosswalk'!$A:$H,8,FALSE)</f>
        <v>0</v>
      </c>
      <c r="S45" s="72">
        <f>VLOOKUP($B45,'Standards Crosswalk'!$A:$I,9,FALSE)</f>
        <v>0</v>
      </c>
    </row>
    <row r="46" spans="1:19" ht="166" thickBot="1" x14ac:dyDescent="0.2">
      <c r="A46" s="71">
        <f t="shared" si="1"/>
        <v>44</v>
      </c>
      <c r="B46" s="77" t="s">
        <v>210</v>
      </c>
      <c r="C46" s="78" t="str">
        <f>VLOOKUP(B46,'HECVAT - Full'!A:E,2,FALSE)</f>
        <v>Can you enforce password/passphrase aging requirements?</v>
      </c>
      <c r="D46" s="71" t="str">
        <f>VLOOKUP(B46,'HECVAT - Full'!A:E,4,FALSE)</f>
        <v>Not applicable. Pronto utilizes One-Time-Passwords for all logins.</v>
      </c>
      <c r="E46" s="79" t="b">
        <f>IF(Table1[[#This Row],[Column11]]&gt;20,TRUE,FALSE)</f>
        <v>1</v>
      </c>
      <c r="F46" s="79" t="s">
        <v>2029</v>
      </c>
      <c r="G46" s="80" t="s">
        <v>16</v>
      </c>
      <c r="H46" s="81">
        <v>1</v>
      </c>
      <c r="I46" s="71" t="str">
        <f>VLOOKUP(B46,'HECVAT - Full'!A:E,3,FALSE)</f>
        <v>No</v>
      </c>
      <c r="J46" s="71">
        <f>IF(Table1[[#This Row],[Column7]]=Table1[[#This Row],[Column9]],1,0)</f>
        <v>0</v>
      </c>
      <c r="K46" s="71">
        <f>IF(Table1[[#This Row],[Column8]]=1,25,"")</f>
        <v>25</v>
      </c>
      <c r="L46" s="71">
        <f>IF(Table1[[#This Row],[Column8]]=1,J46*K46,"")</f>
        <v>0</v>
      </c>
      <c r="M46" s="72" t="str">
        <f>VLOOKUP($B46,'Standards Crosswalk'!$A:$H,3,FALSE)</f>
        <v>CSC 16</v>
      </c>
      <c r="N46" s="72">
        <f>VLOOKUP($B46,'Standards Crosswalk'!$A:$H,4,FALSE)</f>
        <v>0</v>
      </c>
      <c r="O46" s="72" t="str">
        <f>VLOOKUP($B46,'Standards Crosswalk'!$A:$H,5,FALSE)</f>
        <v>9.2.3, 9.3.1, 9.4.3</v>
      </c>
      <c r="P46" s="72" t="str">
        <f>VLOOKUP($B46,'Standards Crosswalk'!$A:$H,6,FALSE)</f>
        <v>PR.AC-1</v>
      </c>
      <c r="Q46" s="72" t="str">
        <f>VLOOKUP($B46,'Standards Crosswalk'!$A:$H,7,FALSE)</f>
        <v>3.5.6</v>
      </c>
      <c r="R46" s="72" t="str">
        <f>VLOOKUP($B46,'Standards Crosswalk'!$A:$H,8,FALSE)</f>
        <v>IA-4</v>
      </c>
      <c r="S46" s="72" t="str">
        <f>VLOOKUP($B46,'Standards Crosswalk'!$A:$I,9,FALSE)</f>
        <v>8.x</v>
      </c>
    </row>
    <row r="47" spans="1:19" ht="166" thickBot="1" x14ac:dyDescent="0.2">
      <c r="A47" s="71">
        <f t="shared" si="1"/>
        <v>45</v>
      </c>
      <c r="B47" s="77" t="s">
        <v>211</v>
      </c>
      <c r="C47" s="78" t="str">
        <f>VLOOKUP(B47,'HECVAT - Full'!A:E,2,FALSE)</f>
        <v>Can you enforce password/passphrase complexity requirements [provided by the institution]?</v>
      </c>
      <c r="D47" s="71" t="str">
        <f>VLOOKUP(B47,'HECVAT - Full'!A:E,4,FALSE)</f>
        <v>Not applicable. Pronto utilizes One-Time-Passwords for all logins.</v>
      </c>
      <c r="E47" s="79" t="b">
        <f>IF(Table1[[#This Row],[Column11]]&gt;20,TRUE,FALSE)</f>
        <v>1</v>
      </c>
      <c r="F47" s="79" t="s">
        <v>2029</v>
      </c>
      <c r="G47" s="80" t="s">
        <v>16</v>
      </c>
      <c r="H47" s="81">
        <v>1</v>
      </c>
      <c r="I47" s="71" t="str">
        <f>VLOOKUP(B47,'HECVAT - Full'!A:E,3,FALSE)</f>
        <v>No</v>
      </c>
      <c r="J47" s="71">
        <f>IF(Table1[[#This Row],[Column7]]=Table1[[#This Row],[Column9]],1,0)</f>
        <v>0</v>
      </c>
      <c r="K47" s="71">
        <f>IF(Table1[[#This Row],[Column8]]=1,25,"")</f>
        <v>25</v>
      </c>
      <c r="L47" s="71">
        <f>IF(Table1[[#This Row],[Column8]]=1,J47*K47,"")</f>
        <v>0</v>
      </c>
      <c r="M47" s="72" t="str">
        <f>VLOOKUP($B47,'Standards Crosswalk'!$A:$H,3,FALSE)</f>
        <v>CSC 16</v>
      </c>
      <c r="N47" s="72">
        <f>VLOOKUP($B47,'Standards Crosswalk'!$A:$H,4,FALSE)</f>
        <v>0</v>
      </c>
      <c r="O47" s="72" t="str">
        <f>VLOOKUP($B47,'Standards Crosswalk'!$A:$H,5,FALSE)</f>
        <v>9.2.3, 9.3.1, 9.4.3</v>
      </c>
      <c r="P47" s="72" t="str">
        <f>VLOOKUP($B47,'Standards Crosswalk'!$A:$H,6,FALSE)</f>
        <v>PR.AC-1</v>
      </c>
      <c r="Q47" s="72" t="str">
        <f>VLOOKUP($B47,'Standards Crosswalk'!$A:$H,7,FALSE)</f>
        <v>3.5.7</v>
      </c>
      <c r="R47" s="72" t="str">
        <f>VLOOKUP($B47,'Standards Crosswalk'!$A:$H,8,FALSE)</f>
        <v>IA-5(1)</v>
      </c>
      <c r="S47" s="72" t="str">
        <f>VLOOKUP($B47,'Standards Crosswalk'!$A:$I,9,FALSE)</f>
        <v>8.x</v>
      </c>
    </row>
    <row r="48" spans="1:19" ht="166" thickBot="1" x14ac:dyDescent="0.2">
      <c r="A48" s="71">
        <f t="shared" si="1"/>
        <v>46</v>
      </c>
      <c r="B48" s="77" t="s">
        <v>212</v>
      </c>
      <c r="C48" s="78" t="str">
        <f>VLOOKUP(B48,'HECVAT - Full'!A:E,2,FALSE)</f>
        <v>Does the system have password complexity or length limitations and/or restrictions?</v>
      </c>
      <c r="D48" s="71" t="str">
        <f>VLOOKUP(B48,'HECVAT - Full'!A:E,4,FALSE)</f>
        <v>Not applicable. Pronto utilizes One-Time-Passwords for all logins.</v>
      </c>
      <c r="E48" s="79" t="b">
        <f>IF(Table1[[#This Row],[Column11]]&gt;20,TRUE,FALSE)</f>
        <v>1</v>
      </c>
      <c r="F48" s="79" t="s">
        <v>2029</v>
      </c>
      <c r="G48" s="80" t="s">
        <v>16</v>
      </c>
      <c r="H48" s="81">
        <v>1</v>
      </c>
      <c r="I48" s="71" t="str">
        <f>VLOOKUP(B48,'HECVAT - Full'!A:E,3,FALSE)</f>
        <v>No</v>
      </c>
      <c r="J48" s="71">
        <f>IF(Table1[[#This Row],[Column7]]=Table1[[#This Row],[Column9]],1,0)</f>
        <v>0</v>
      </c>
      <c r="K48" s="71">
        <f>IF(Table1[[#This Row],[Column8]]=1,25,"")</f>
        <v>25</v>
      </c>
      <c r="L48" s="71">
        <f>IF(Table1[[#This Row],[Column8]]=1,J48*K48,"")</f>
        <v>0</v>
      </c>
      <c r="M48" s="72" t="str">
        <f>VLOOKUP($B48,'Standards Crosswalk'!$A:$H,3,FALSE)</f>
        <v>CSC 16</v>
      </c>
      <c r="N48" s="72">
        <f>VLOOKUP($B48,'Standards Crosswalk'!$A:$H,4,FALSE)</f>
        <v>0</v>
      </c>
      <c r="O48" s="72" t="str">
        <f>VLOOKUP($B48,'Standards Crosswalk'!$A:$H,5,FALSE)</f>
        <v>9.2.3, 9.3.1, 9.4.3</v>
      </c>
      <c r="P48" s="72" t="str">
        <f>VLOOKUP($B48,'Standards Crosswalk'!$A:$H,6,FALSE)</f>
        <v>PR.AC-1</v>
      </c>
      <c r="Q48" s="72">
        <f>VLOOKUP($B48,'Standards Crosswalk'!$A:$H,7,FALSE)</f>
        <v>0</v>
      </c>
      <c r="R48" s="72">
        <f>VLOOKUP($B48,'Standards Crosswalk'!$A:$H,8,FALSE)</f>
        <v>0</v>
      </c>
      <c r="S48" s="72" t="str">
        <f>VLOOKUP($B48,'Standards Crosswalk'!$A:$I,9,FALSE)</f>
        <v>8.x</v>
      </c>
    </row>
    <row r="49" spans="1:19" ht="166" thickBot="1" x14ac:dyDescent="0.2">
      <c r="A49" s="71">
        <f t="shared" si="1"/>
        <v>47</v>
      </c>
      <c r="B49" s="77" t="s">
        <v>213</v>
      </c>
      <c r="C49" s="78" t="str">
        <f>VLOOKUP(B49,'HECVAT - Full'!A:E,2,FALSE)</f>
        <v>Do you have documented password/passphrase reset procedures that are currently implemented in the system and/or customer support?</v>
      </c>
      <c r="D49" s="71" t="str">
        <f>VLOOKUP(B49,'HECVAT - Full'!A:E,4,FALSE)</f>
        <v>Not applicable. Pronto utilizes One-Time-Passwords for all logins.</v>
      </c>
      <c r="E49" s="79" t="b">
        <f>IF(Table1[[#This Row],[Column11]]&gt;20,TRUE,FALSE)</f>
        <v>0</v>
      </c>
      <c r="F49" s="79" t="s">
        <v>2029</v>
      </c>
      <c r="G49" s="80" t="s">
        <v>16</v>
      </c>
      <c r="H49" s="81">
        <v>1</v>
      </c>
      <c r="I49" s="71" t="str">
        <f>VLOOKUP(B49,'HECVAT - Full'!A:E,3,FALSE)</f>
        <v>No</v>
      </c>
      <c r="J49" s="71">
        <f>IF(Table1[[#This Row],[Column7]]=Table1[[#This Row],[Column9]],1,0)</f>
        <v>0</v>
      </c>
      <c r="K49" s="71">
        <f>IF(Table1[[#This Row],[Column8]]=1,20,"")</f>
        <v>20</v>
      </c>
      <c r="L49" s="71">
        <f>IF(Table1[[#This Row],[Column8]]=1,J49*K49,"")</f>
        <v>0</v>
      </c>
      <c r="M49" s="72" t="str">
        <f>VLOOKUP($B49,'Standards Crosswalk'!$A:$H,3,FALSE)</f>
        <v>CSC 16</v>
      </c>
      <c r="N49" s="72">
        <f>VLOOKUP($B49,'Standards Crosswalk'!$A:$H,4,FALSE)</f>
        <v>0</v>
      </c>
      <c r="O49" s="72" t="str">
        <f>VLOOKUP($B49,'Standards Crosswalk'!$A:$H,5,FALSE)</f>
        <v>9.2.3, 9.3.1, 9.4.3</v>
      </c>
      <c r="P49" s="72" t="str">
        <f>VLOOKUP($B49,'Standards Crosswalk'!$A:$H,6,FALSE)</f>
        <v>PR.AC-1</v>
      </c>
      <c r="Q49" s="72" t="str">
        <f>VLOOKUP($B49,'Standards Crosswalk'!$A:$H,7,FALSE)</f>
        <v>3.5.5, 3.5.8</v>
      </c>
      <c r="R49" s="72" t="str">
        <f>VLOOKUP($B49,'Standards Crosswalk'!$A:$H,8,FALSE)</f>
        <v>IA-4</v>
      </c>
      <c r="S49" s="72" t="str">
        <f>VLOOKUP($B49,'Standards Crosswalk'!$A:$I,9,FALSE)</f>
        <v>2.1, 8.x</v>
      </c>
    </row>
    <row r="50" spans="1:19" ht="136" thickBot="1" x14ac:dyDescent="0.2">
      <c r="A50" s="71">
        <f t="shared" si="1"/>
        <v>48</v>
      </c>
      <c r="B50" s="77" t="s">
        <v>214</v>
      </c>
      <c r="C50" s="78" t="str">
        <f>VLOOKUP(B50,'HECVAT - Full'!A:E,2,FALSE)</f>
        <v>Does your web-based interface support authentication, including standards-based single-sign-on? (e.g. InCommon)</v>
      </c>
      <c r="D50" s="71" t="str">
        <f>VLOOKUP(B50,'HECVAT - Full'!A:E,4,FALSE)</f>
        <v>We are looking to add SAML support in a future release.</v>
      </c>
      <c r="E50" s="79" t="b">
        <f>IF(Table1[[#This Row],[Column11]]&gt;20,TRUE,FALSE)</f>
        <v>1</v>
      </c>
      <c r="F50" s="79" t="s">
        <v>2029</v>
      </c>
      <c r="G50" s="80" t="s">
        <v>16</v>
      </c>
      <c r="H50" s="81">
        <v>1</v>
      </c>
      <c r="I50" s="71" t="str">
        <f>VLOOKUP(B50,'HECVAT - Full'!A:E,3,FALSE)</f>
        <v>No</v>
      </c>
      <c r="J50" s="71">
        <f>IF(Table1[[#This Row],[Column7]]=Table1[[#This Row],[Column9]],1,0)</f>
        <v>0</v>
      </c>
      <c r="K50" s="71">
        <f>IF(Table1[[#This Row],[Column8]]=1,40,"")</f>
        <v>40</v>
      </c>
      <c r="L50" s="71">
        <f>IF(Table1[[#This Row],[Column8]]=1,J50*K50,"")</f>
        <v>0</v>
      </c>
      <c r="M50" s="72" t="str">
        <f>VLOOKUP($B50,'Standards Crosswalk'!$A:$H,3,FALSE)</f>
        <v>CSC 16</v>
      </c>
      <c r="N50" s="72">
        <f>VLOOKUP($B50,'Standards Crosswalk'!$A:$H,4,FALSE)</f>
        <v>0</v>
      </c>
      <c r="O50" s="72" t="str">
        <f>VLOOKUP($B50,'Standards Crosswalk'!$A:$H,5,FALSE)</f>
        <v>9.1.1, 9.2.3, 9.3.1, 9.4.3</v>
      </c>
      <c r="P50" s="72" t="str">
        <f>VLOOKUP($B50,'Standards Crosswalk'!$A:$H,6,FALSE)</f>
        <v>PR.AC-1</v>
      </c>
      <c r="Q50" s="72" t="str">
        <f>VLOOKUP($B50,'Standards Crosswalk'!$A:$H,7,FALSE)</f>
        <v>3.5.1</v>
      </c>
      <c r="R50" s="72" t="str">
        <f>VLOOKUP($B50,'Standards Crosswalk'!$A:$H,8,FALSE)</f>
        <v>IA-2, IA-5</v>
      </c>
      <c r="S50" s="72" t="str">
        <f>VLOOKUP($B50,'Standards Crosswalk'!$A:$I,9,FALSE)</f>
        <v>8.x</v>
      </c>
    </row>
    <row r="51" spans="1:19" ht="76" thickBot="1" x14ac:dyDescent="0.2">
      <c r="A51" s="71">
        <f t="shared" si="1"/>
        <v>49</v>
      </c>
      <c r="B51" s="77" t="s">
        <v>215</v>
      </c>
      <c r="C51" s="78" t="str">
        <f>VLOOKUP(B51,'HECVAT - Full'!A:E,2,FALSE)</f>
        <v>Are there any passwords/passphrases hard coded into your systems or products?</v>
      </c>
      <c r="D51" s="71">
        <f>VLOOKUP(B51,'HECVAT - Full'!A:E,4,FALSE)</f>
        <v>0</v>
      </c>
      <c r="E51" s="79" t="b">
        <f>IF(Table1[[#This Row],[Column11]]&gt;20,TRUE,FALSE)</f>
        <v>1</v>
      </c>
      <c r="F51" s="79" t="s">
        <v>2029</v>
      </c>
      <c r="G51" s="80" t="s">
        <v>19</v>
      </c>
      <c r="H51" s="81">
        <v>1</v>
      </c>
      <c r="I51" s="71" t="str">
        <f>VLOOKUP(B51,'HECVAT - Full'!A:E,3,FALSE)</f>
        <v>No</v>
      </c>
      <c r="J51" s="71">
        <f>IF(Table1[[#This Row],[Column7]]=Table1[[#This Row],[Column9]],1,0)</f>
        <v>1</v>
      </c>
      <c r="K51" s="71">
        <f>IF(Table1[[#This Row],[Column8]]=1,40,"")</f>
        <v>40</v>
      </c>
      <c r="L51" s="71">
        <f>IF(Table1[[#This Row],[Column8]]=1,J51*K51,"")</f>
        <v>40</v>
      </c>
      <c r="M51" s="72" t="str">
        <f>VLOOKUP($B51,'Standards Crosswalk'!$A:$H,3,FALSE)</f>
        <v>CSC 16</v>
      </c>
      <c r="N51" s="72">
        <f>VLOOKUP($B51,'Standards Crosswalk'!$A:$H,4,FALSE)</f>
        <v>0</v>
      </c>
      <c r="O51" s="72" t="str">
        <f>VLOOKUP($B51,'Standards Crosswalk'!$A:$H,5,FALSE)</f>
        <v>9</v>
      </c>
      <c r="P51" s="72">
        <f>VLOOKUP($B51,'Standards Crosswalk'!$A:$H,6,FALSE)</f>
        <v>0</v>
      </c>
      <c r="Q51" s="72">
        <f>VLOOKUP($B51,'Standards Crosswalk'!$A:$H,7,FALSE)</f>
        <v>0</v>
      </c>
      <c r="R51" s="72">
        <f>VLOOKUP($B51,'Standards Crosswalk'!$A:$H,8,FALSE)</f>
        <v>0</v>
      </c>
      <c r="S51" s="72" t="str">
        <f>VLOOKUP($B51,'Standards Crosswalk'!$A:$I,9,FALSE)</f>
        <v>2.1, 8.x</v>
      </c>
    </row>
    <row r="52" spans="1:19" ht="76" thickBot="1" x14ac:dyDescent="0.2">
      <c r="A52" s="71">
        <f t="shared" si="1"/>
        <v>50</v>
      </c>
      <c r="B52" s="77" t="s">
        <v>216</v>
      </c>
      <c r="C52" s="78" t="str">
        <f>VLOOKUP(B52,'HECVAT - Full'!A:E,2,FALSE)</f>
        <v>Are user account passwords/passphrases visible in administration modules?</v>
      </c>
      <c r="D52" s="71">
        <f>VLOOKUP(B52,'HECVAT - Full'!A:E,4,FALSE)</f>
        <v>0</v>
      </c>
      <c r="E52" s="79" t="b">
        <f>IF(Table1[[#This Row],[Column11]]&gt;20,TRUE,FALSE)</f>
        <v>1</v>
      </c>
      <c r="F52" s="79" t="s">
        <v>2029</v>
      </c>
      <c r="G52" s="80" t="s">
        <v>19</v>
      </c>
      <c r="H52" s="81">
        <v>1</v>
      </c>
      <c r="I52" s="71" t="str">
        <f>VLOOKUP(B52,'HECVAT - Full'!A:E,3,FALSE)</f>
        <v>No</v>
      </c>
      <c r="J52" s="71">
        <f>IF(Table1[[#This Row],[Column7]]=Table1[[#This Row],[Column9]],1,0)</f>
        <v>1</v>
      </c>
      <c r="K52" s="71">
        <f>IF(Table1[[#This Row],[Column8]]=1,25,"")</f>
        <v>25</v>
      </c>
      <c r="L52" s="71">
        <f>IF(Table1[[#This Row],[Column8]]=1,J52*K52,"")</f>
        <v>25</v>
      </c>
      <c r="M52" s="72" t="str">
        <f>VLOOKUP($B52,'Standards Crosswalk'!$A:$H,3,FALSE)</f>
        <v>CSC 16</v>
      </c>
      <c r="N52" s="72">
        <f>VLOOKUP($B52,'Standards Crosswalk'!$A:$H,4,FALSE)</f>
        <v>0</v>
      </c>
      <c r="O52" s="72" t="str">
        <f>VLOOKUP($B52,'Standards Crosswalk'!$A:$H,5,FALSE)</f>
        <v>9</v>
      </c>
      <c r="P52" s="72" t="str">
        <f>VLOOKUP($B52,'Standards Crosswalk'!$A:$H,6,FALSE)</f>
        <v>PR.AC-1</v>
      </c>
      <c r="Q52" s="72">
        <f>VLOOKUP($B52,'Standards Crosswalk'!$A:$H,7,FALSE)</f>
        <v>0</v>
      </c>
      <c r="R52" s="72">
        <f>VLOOKUP($B52,'Standards Crosswalk'!$A:$H,8,FALSE)</f>
        <v>0</v>
      </c>
      <c r="S52" s="72" t="str">
        <f>VLOOKUP($B52,'Standards Crosswalk'!$A:$I,9,FALSE)</f>
        <v>8.x</v>
      </c>
    </row>
    <row r="53" spans="1:19" ht="166" thickBot="1" x14ac:dyDescent="0.2">
      <c r="A53" s="71">
        <f t="shared" si="1"/>
        <v>51</v>
      </c>
      <c r="B53" s="77" t="s">
        <v>217</v>
      </c>
      <c r="C53" s="78" t="str">
        <f>VLOOKUP(B53,'HECVAT - Full'!A:E,2,FALSE)</f>
        <v>Are user account passwords/passphrases stored encrypted?</v>
      </c>
      <c r="D53" s="71" t="str">
        <f>VLOOKUP(B53,'HECVAT - Full'!A:E,4,FALSE)</f>
        <v>Not applicable. Pronto utilizes One-Time-Passwords for all logins.</v>
      </c>
      <c r="E53" s="79" t="b">
        <f>IF(Table1[[#This Row],[Column11]]&gt;20,TRUE,FALSE)</f>
        <v>1</v>
      </c>
      <c r="F53" s="79" t="s">
        <v>2029</v>
      </c>
      <c r="G53" s="80" t="s">
        <v>16</v>
      </c>
      <c r="H53" s="81">
        <v>1</v>
      </c>
      <c r="I53" s="71" t="str">
        <f>VLOOKUP(B53,'HECVAT - Full'!A:E,3,FALSE)</f>
        <v>No</v>
      </c>
      <c r="J53" s="71">
        <f>IF(Table1[[#This Row],[Column7]]=Table1[[#This Row],[Column9]],1,0)</f>
        <v>0</v>
      </c>
      <c r="K53" s="71">
        <f>IF(Table1[[#This Row],[Column8]]=1,40,"")</f>
        <v>40</v>
      </c>
      <c r="L53" s="71">
        <f>IF(Table1[[#This Row],[Column8]]=1,J53*K53,"")</f>
        <v>0</v>
      </c>
      <c r="M53" s="72" t="str">
        <f>VLOOKUP($B53,'Standards Crosswalk'!$A:$H,3,FALSE)</f>
        <v>CSC 16</v>
      </c>
      <c r="N53" s="72">
        <f>VLOOKUP($B53,'Standards Crosswalk'!$A:$H,4,FALSE)</f>
        <v>0</v>
      </c>
      <c r="O53" s="72" t="str">
        <f>VLOOKUP($B53,'Standards Crosswalk'!$A:$H,5,FALSE)</f>
        <v>9</v>
      </c>
      <c r="P53" s="72" t="str">
        <f>VLOOKUP($B53,'Standards Crosswalk'!$A:$H,6,FALSE)</f>
        <v>PR.AC-1</v>
      </c>
      <c r="Q53" s="72" t="str">
        <f>VLOOKUP($B53,'Standards Crosswalk'!$A:$H,7,FALSE)</f>
        <v>3.5.10</v>
      </c>
      <c r="R53" s="72" t="str">
        <f>VLOOKUP($B53,'Standards Crosswalk'!$A:$H,8,FALSE)</f>
        <v>IA-5(1)</v>
      </c>
      <c r="S53" s="72" t="str">
        <f>VLOOKUP($B53,'Standards Crosswalk'!$A:$I,9,FALSE)</f>
        <v>8.x</v>
      </c>
    </row>
    <row r="54" spans="1:19" ht="121" thickBot="1" x14ac:dyDescent="0.2">
      <c r="A54" s="71">
        <f t="shared" si="1"/>
        <v>52</v>
      </c>
      <c r="B54" s="77" t="s">
        <v>218</v>
      </c>
      <c r="C54" s="78" t="str">
        <f>VLOOKUP(B54,'HECVAT - Full'!A:E,2,FALSE)</f>
        <v>Does your application and/or user-frontend/portal support multi-factor authentication? (e.g. Duo, Google Authenticator, OTP, etc.)</v>
      </c>
      <c r="D54" s="71" t="str">
        <f>VLOOKUP(B54,'HECVAT - Full'!A:E,4,FALSE)</f>
        <v>Pronto utilizes One-Time-Passwords for all logins.</v>
      </c>
      <c r="E54" s="79" t="b">
        <f>IF(Table1[[#This Row],[Column11]]&gt;20,TRUE,FALSE)</f>
        <v>0</v>
      </c>
      <c r="F54" s="79" t="s">
        <v>2029</v>
      </c>
      <c r="G54" s="80" t="s">
        <v>16</v>
      </c>
      <c r="H54" s="81">
        <v>1</v>
      </c>
      <c r="I54" s="71" t="str">
        <f>VLOOKUP(B54,'HECVAT - Full'!A:E,3,FALSE)</f>
        <v>Yes</v>
      </c>
      <c r="J54" s="71">
        <f>IF(Table1[[#This Row],[Column7]]=Table1[[#This Row],[Column9]],1,0)</f>
        <v>1</v>
      </c>
      <c r="K54" s="71">
        <f>IF(Table1[[#This Row],[Column8]]=1,20,"")</f>
        <v>20</v>
      </c>
      <c r="L54" s="71">
        <f>IF(Table1[[#This Row],[Column8]]=1,J54*K54,"")</f>
        <v>20</v>
      </c>
      <c r="M54" s="72" t="str">
        <f>VLOOKUP($B54,'Standards Crosswalk'!$A:$H,3,FALSE)</f>
        <v>CSC 16</v>
      </c>
      <c r="N54" s="72">
        <f>VLOOKUP($B54,'Standards Crosswalk'!$A:$H,4,FALSE)</f>
        <v>0</v>
      </c>
      <c r="O54" s="72" t="str">
        <f>VLOOKUP($B54,'Standards Crosswalk'!$A:$H,5,FALSE)</f>
        <v>9</v>
      </c>
      <c r="P54" s="72" t="str">
        <f>VLOOKUP($B54,'Standards Crosswalk'!$A:$H,6,FALSE)</f>
        <v>PR.AC-4</v>
      </c>
      <c r="Q54" s="72" t="str">
        <f>VLOOKUP($B54,'Standards Crosswalk'!$A:$H,7,FALSE)</f>
        <v>3.5.2, 3.5.3</v>
      </c>
      <c r="R54" s="72" t="str">
        <f>VLOOKUP($B54,'Standards Crosswalk'!$A:$H,8,FALSE)</f>
        <v>IA-5</v>
      </c>
      <c r="S54" s="72" t="str">
        <f>VLOOKUP($B54,'Standards Crosswalk'!$A:$I,9,FALSE)</f>
        <v>8.x</v>
      </c>
    </row>
    <row r="55" spans="1:19" ht="136" thickBot="1" x14ac:dyDescent="0.2">
      <c r="A55" s="71">
        <f t="shared" si="1"/>
        <v>53</v>
      </c>
      <c r="B55" s="77" t="s">
        <v>219</v>
      </c>
      <c r="C55" s="78" t="str">
        <f>VLOOKUP(B55,'HECVAT - Full'!A:E,2,FALSE)</f>
        <v>Does your application support integration with other authentication and authorization systems?  List which ones (such as Active Directory, Kerberos and what version) in Additional Info?</v>
      </c>
      <c r="D55" s="71" t="str">
        <f>VLOOKUP(B55,'HECVAT - Full'!A:E,4,FALSE)</f>
        <v>We are looking to add SAML support in a future release.</v>
      </c>
      <c r="E55" s="79" t="b">
        <f>IF(Table1[[#This Row],[Column11]]&gt;20,TRUE,FALSE)</f>
        <v>0</v>
      </c>
      <c r="F55" s="79" t="s">
        <v>2029</v>
      </c>
      <c r="G55" s="80" t="s">
        <v>16</v>
      </c>
      <c r="H55" s="81">
        <v>1</v>
      </c>
      <c r="I55" s="71" t="str">
        <f>VLOOKUP(B55,'HECVAT - Full'!A:E,3,FALSE)</f>
        <v>No</v>
      </c>
      <c r="J55" s="71">
        <f>IF(Table1[[#This Row],[Column7]]=Table1[[#This Row],[Column9]],1,0)</f>
        <v>0</v>
      </c>
      <c r="K55" s="71">
        <f>IF(Table1[[#This Row],[Column8]]=1,15,"")</f>
        <v>15</v>
      </c>
      <c r="L55" s="71">
        <f>IF(Table1[[#This Row],[Column8]]=1,J55*K55,"")</f>
        <v>0</v>
      </c>
      <c r="M55" s="72" t="str">
        <f>VLOOKUP($B55,'Standards Crosswalk'!$A:$H,3,FALSE)</f>
        <v>CSC 16</v>
      </c>
      <c r="N55" s="72">
        <f>VLOOKUP($B55,'Standards Crosswalk'!$A:$H,4,FALSE)</f>
        <v>0</v>
      </c>
      <c r="O55" s="72" t="str">
        <f>VLOOKUP($B55,'Standards Crosswalk'!$A:$H,5,FALSE)</f>
        <v>9.4.3</v>
      </c>
      <c r="P55" s="72" t="str">
        <f>VLOOKUP($B55,'Standards Crosswalk'!$A:$H,6,FALSE)</f>
        <v>PR.AC-1, PR.AC-4</v>
      </c>
      <c r="Q55" s="72">
        <f>VLOOKUP($B55,'Standards Crosswalk'!$A:$H,7,FALSE)</f>
        <v>0</v>
      </c>
      <c r="R55" s="72">
        <f>VLOOKUP($B55,'Standards Crosswalk'!$A:$H,8,FALSE)</f>
        <v>0</v>
      </c>
      <c r="S55" s="72">
        <f>VLOOKUP($B55,'Standards Crosswalk'!$A:$I,9,FALSE)</f>
        <v>0</v>
      </c>
    </row>
    <row r="56" spans="1:19" ht="76" thickBot="1" x14ac:dyDescent="0.2">
      <c r="A56" s="71">
        <f t="shared" si="1"/>
        <v>54</v>
      </c>
      <c r="B56" s="77" t="s">
        <v>220</v>
      </c>
      <c r="C56" s="78" t="str">
        <f>VLOOKUP(B56,'HECVAT - Full'!A:E,2,FALSE)</f>
        <v>Will any external authentication or authorization system be utilized by an application with access to the institution's data?</v>
      </c>
      <c r="D56" s="71">
        <f>VLOOKUP(B56,'HECVAT - Full'!A:E,4,FALSE)</f>
        <v>0</v>
      </c>
      <c r="E56" s="79" t="b">
        <f>IF(Table1[[#This Row],[Column11]]&gt;20,TRUE,FALSE)</f>
        <v>1</v>
      </c>
      <c r="F56" s="79" t="s">
        <v>2029</v>
      </c>
      <c r="G56" s="80" t="s">
        <v>19</v>
      </c>
      <c r="H56" s="81">
        <f>IF(I55="Yes",1,0)</f>
        <v>0</v>
      </c>
      <c r="I56" s="71">
        <f>VLOOKUP(B56,'HECVAT - Full'!A:E,3,FALSE)</f>
        <v>0</v>
      </c>
      <c r="J56" s="71">
        <f>IF(Table1[[#This Row],[Column7]]=Table1[[#This Row],[Column9]],1,0)</f>
        <v>0</v>
      </c>
      <c r="K56" s="71" t="str">
        <f>IF(Table1[[#This Row],[Column8]]=1,20,"")</f>
        <v/>
      </c>
      <c r="L56" s="71" t="str">
        <f>IF(Table1[[#This Row],[Column8]]=1,J56*K56,"")</f>
        <v/>
      </c>
      <c r="M56" s="72" t="str">
        <f>VLOOKUP($B56,'Standards Crosswalk'!$A:$H,3,FALSE)</f>
        <v>CSC 16</v>
      </c>
      <c r="N56" s="72">
        <f>VLOOKUP($B56,'Standards Crosswalk'!$A:$H,4,FALSE)</f>
        <v>0</v>
      </c>
      <c r="O56" s="72" t="str">
        <f>VLOOKUP($B56,'Standards Crosswalk'!$A:$H,5,FALSE)</f>
        <v>9</v>
      </c>
      <c r="P56" s="72" t="str">
        <f>VLOOKUP($B56,'Standards Crosswalk'!$A:$H,6,FALSE)</f>
        <v>PR.AC-1, PR.AC-4</v>
      </c>
      <c r="Q56" s="72">
        <f>VLOOKUP($B56,'Standards Crosswalk'!$A:$H,7,FALSE)</f>
        <v>0</v>
      </c>
      <c r="R56" s="72">
        <f>VLOOKUP($B56,'Standards Crosswalk'!$A:$H,8,FALSE)</f>
        <v>0</v>
      </c>
      <c r="S56" s="72" t="str">
        <f>VLOOKUP($B56,'Standards Crosswalk'!$A:$I,9,FALSE)</f>
        <v>8.x</v>
      </c>
    </row>
    <row r="57" spans="1:19" ht="76" thickBot="1" x14ac:dyDescent="0.2">
      <c r="A57" s="71">
        <f t="shared" si="1"/>
        <v>55</v>
      </c>
      <c r="B57" s="77" t="s">
        <v>221</v>
      </c>
      <c r="C57" s="78" t="str">
        <f>VLOOKUP(B57,'HECVAT - Full'!A:E,2,FALSE)</f>
        <v>Does the system (servers/infrastructure) support external authentication services (e.g. Active Directory, LDAP) in place of local authentication?</v>
      </c>
      <c r="D57" s="71">
        <f>VLOOKUP(B57,'HECVAT - Full'!A:E,4,FALSE)</f>
        <v>0</v>
      </c>
      <c r="E57" s="79" t="b">
        <f>IF(Table1[[#This Row],[Column11]]&gt;20,TRUE,FALSE)</f>
        <v>0</v>
      </c>
      <c r="F57" s="79" t="s">
        <v>2029</v>
      </c>
      <c r="G57" s="80" t="s">
        <v>16</v>
      </c>
      <c r="H57" s="81">
        <v>1</v>
      </c>
      <c r="I57" s="71" t="str">
        <f>VLOOKUP(B57,'HECVAT - Full'!A:E,3,FALSE)</f>
        <v>No</v>
      </c>
      <c r="J57" s="71">
        <f>IF(Table1[[#This Row],[Column7]]=Table1[[#This Row],[Column9]],1,0)</f>
        <v>0</v>
      </c>
      <c r="K57" s="71">
        <f>IF(Table1[[#This Row],[Column8]]=1,20,"")</f>
        <v>20</v>
      </c>
      <c r="L57" s="71">
        <f>IF(Table1[[#This Row],[Column8]]=1,J57*K57,"")</f>
        <v>0</v>
      </c>
      <c r="M57" s="72" t="str">
        <f>VLOOKUP($B57,'Standards Crosswalk'!$A:$H,3,FALSE)</f>
        <v>CSC 16</v>
      </c>
      <c r="N57" s="72">
        <f>VLOOKUP($B57,'Standards Crosswalk'!$A:$H,4,FALSE)</f>
        <v>0</v>
      </c>
      <c r="O57" s="72" t="str">
        <f>VLOOKUP($B57,'Standards Crosswalk'!$A:$H,5,FALSE)</f>
        <v>9.4.3</v>
      </c>
      <c r="P57" s="72" t="str">
        <f>VLOOKUP($B57,'Standards Crosswalk'!$A:$H,6,FALSE)</f>
        <v>PR.AC-1, PR.AC-4</v>
      </c>
      <c r="Q57" s="72">
        <f>VLOOKUP($B57,'Standards Crosswalk'!$A:$H,7,FALSE)</f>
        <v>0</v>
      </c>
      <c r="R57" s="72">
        <f>VLOOKUP($B57,'Standards Crosswalk'!$A:$H,8,FALSE)</f>
        <v>0</v>
      </c>
      <c r="S57" s="72">
        <f>VLOOKUP($B57,'Standards Crosswalk'!$A:$I,9,FALSE)</f>
        <v>0</v>
      </c>
    </row>
    <row r="58" spans="1:19" ht="73.5" customHeight="1" thickBot="1" x14ac:dyDescent="0.2">
      <c r="A58" s="71">
        <f t="shared" si="1"/>
        <v>56</v>
      </c>
      <c r="B58" s="77" t="s">
        <v>222</v>
      </c>
      <c r="C58" s="78" t="str">
        <f>VLOOKUP(B58,'HECVAT - Full'!A:E,2,FALSE)</f>
        <v>Does the system operate in a mixed authentication mode (i.e. external and local authentication)?</v>
      </c>
      <c r="D58" s="71">
        <f>VLOOKUP(B58,'HECVAT - Full'!A:E,4,FALSE)</f>
        <v>0</v>
      </c>
      <c r="E58" s="79" t="b">
        <f>IF(Table1[[#This Row],[Column11]]&gt;20,TRUE,FALSE)</f>
        <v>1</v>
      </c>
      <c r="F58" s="79" t="s">
        <v>2029</v>
      </c>
      <c r="G58" s="80" t="s">
        <v>19</v>
      </c>
      <c r="H58" s="81">
        <f>IF(I57="Yes",1,0)</f>
        <v>0</v>
      </c>
      <c r="I58" s="71">
        <f>VLOOKUP(B58,'HECVAT - Full'!A:E,3,FALSE)</f>
        <v>0</v>
      </c>
      <c r="J58" s="71">
        <f>IF(Table1[[#This Row],[Column7]]=Table1[[#This Row],[Column9]],1,0)</f>
        <v>0</v>
      </c>
      <c r="K58" s="71" t="str">
        <f>IF(Table1[[#This Row],[Column8]]=1,20,"")</f>
        <v/>
      </c>
      <c r="L58" s="71" t="str">
        <f>IF(Table1[[#This Row],[Column8]]=1,J58*K58,"")</f>
        <v/>
      </c>
      <c r="M58" s="72" t="str">
        <f>VLOOKUP($B58,'Standards Crosswalk'!$A:$H,3,FALSE)</f>
        <v>CSC 16</v>
      </c>
      <c r="N58" s="72">
        <f>VLOOKUP($B58,'Standards Crosswalk'!$A:$H,4,FALSE)</f>
        <v>0</v>
      </c>
      <c r="O58" s="72">
        <f>VLOOKUP($B58,'Standards Crosswalk'!$A:$H,5,FALSE)</f>
        <v>0</v>
      </c>
      <c r="P58" s="72" t="str">
        <f>VLOOKUP($B58,'Standards Crosswalk'!$A:$H,6,FALSE)</f>
        <v>PR.AC-1, PR.AC-4</v>
      </c>
      <c r="Q58" s="72">
        <f>VLOOKUP($B58,'Standards Crosswalk'!$A:$H,7,FALSE)</f>
        <v>0</v>
      </c>
      <c r="R58" s="72">
        <f>VLOOKUP($B58,'Standards Crosswalk'!$A:$H,8,FALSE)</f>
        <v>0</v>
      </c>
      <c r="S58" s="72">
        <f>VLOOKUP($B58,'Standards Crosswalk'!$A:$I,9,FALSE)</f>
        <v>0</v>
      </c>
    </row>
    <row r="59" spans="1:19" ht="73.5" customHeight="1" thickBot="1" x14ac:dyDescent="0.2">
      <c r="A59" s="71">
        <f t="shared" si="1"/>
        <v>57</v>
      </c>
      <c r="B59" s="77" t="s">
        <v>223</v>
      </c>
      <c r="C59" s="78" t="str">
        <f>VLOOKUP(B59,'HECVAT - Full'!A:E,2,FALSE)</f>
        <v>Will any external authentication or authorization system be utilized by a system with access to institution data?</v>
      </c>
      <c r="D59" s="71">
        <f>VLOOKUP(B59,'HECVAT - Full'!A:E,4,FALSE)</f>
        <v>0</v>
      </c>
      <c r="E59" s="79" t="b">
        <f>IF(Table1[[#This Row],[Column11]]&gt;20,TRUE,FALSE)</f>
        <v>1</v>
      </c>
      <c r="F59" s="79" t="s">
        <v>2029</v>
      </c>
      <c r="G59" s="80" t="s">
        <v>19</v>
      </c>
      <c r="H59" s="81">
        <f>IF(I57="Yes",1,0)</f>
        <v>0</v>
      </c>
      <c r="I59" s="71">
        <f>VLOOKUP(B59,'HECVAT - Full'!A:E,3,FALSE)</f>
        <v>0</v>
      </c>
      <c r="J59" s="71">
        <f>IF(Table1[[#This Row],[Column7]]=Table1[[#This Row],[Column9]],1,0)</f>
        <v>0</v>
      </c>
      <c r="K59" s="71" t="str">
        <f>IF(Table1[[#This Row],[Column8]]=1,20,"")</f>
        <v/>
      </c>
      <c r="L59" s="71" t="str">
        <f>IF(Table1[[#This Row],[Column8]]=1,J59*K59,"")</f>
        <v/>
      </c>
      <c r="M59" s="72" t="str">
        <f>VLOOKUP($B59,'Standards Crosswalk'!$A:$H,3,FALSE)</f>
        <v>CSC 16</v>
      </c>
      <c r="N59" s="72">
        <f>VLOOKUP($B59,'Standards Crosswalk'!$A:$H,4,FALSE)</f>
        <v>0</v>
      </c>
      <c r="O59" s="72">
        <f>VLOOKUP($B59,'Standards Crosswalk'!$A:$H,5,FALSE)</f>
        <v>0</v>
      </c>
      <c r="P59" s="72" t="str">
        <f>VLOOKUP($B59,'Standards Crosswalk'!$A:$H,6,FALSE)</f>
        <v>PR.AC-1, PR.AC-4</v>
      </c>
      <c r="Q59" s="72" t="str">
        <f>VLOOKUP($B59,'Standards Crosswalk'!$A:$H,7,FALSE)</f>
        <v>3.1.1</v>
      </c>
      <c r="R59" s="72">
        <f>VLOOKUP($B59,'Standards Crosswalk'!$A:$H,8,FALSE)</f>
        <v>0</v>
      </c>
      <c r="S59" s="72" t="str">
        <f>VLOOKUP($B59,'Standards Crosswalk'!$A:$I,9,FALSE)</f>
        <v>8.x</v>
      </c>
    </row>
    <row r="60" spans="1:19" ht="73.5" customHeight="1" thickBot="1" x14ac:dyDescent="0.2">
      <c r="A60" s="71">
        <f t="shared" si="1"/>
        <v>58</v>
      </c>
      <c r="B60" s="77" t="s">
        <v>224</v>
      </c>
      <c r="C60" s="78" t="str">
        <f>VLOOKUP(B60,'HECVAT - Full'!A:E,2,FALSE)</f>
        <v>Are audit logs available that include AT LEAST all of the following; login, logout, actions performed, and source IP address?</v>
      </c>
      <c r="D60" s="71" t="str">
        <f>VLOOKUP(B60,'HECVAT - Full'!A:E,4,FALSE)</f>
        <v>Logging for user logins includes: date/time, device name/type, IP address.</v>
      </c>
      <c r="E60" s="79" t="b">
        <f>IF(Table1[[#This Row],[Column11]]&gt;20,TRUE,FALSE)</f>
        <v>1</v>
      </c>
      <c r="F60" s="79" t="s">
        <v>2029</v>
      </c>
      <c r="G60" s="98" t="s">
        <v>16</v>
      </c>
      <c r="H60" s="81">
        <v>1</v>
      </c>
      <c r="I60" s="71" t="str">
        <f>VLOOKUP(B60,'HECVAT - Full'!A:E,3,FALSE)</f>
        <v>Yes</v>
      </c>
      <c r="J60" s="71">
        <f>IF(Table1[[#This Row],[Column7]]=Table1[[#This Row],[Column9]],1,0)</f>
        <v>1</v>
      </c>
      <c r="K60" s="71">
        <f>IF(Table1[[#This Row],[Column8]]=1,25,"")</f>
        <v>25</v>
      </c>
      <c r="L60" s="71">
        <f>IF(Table1[[#This Row],[Column8]]=1,J60*K60,"")</f>
        <v>25</v>
      </c>
      <c r="M60" s="72" t="str">
        <f>VLOOKUP($B60,'Standards Crosswalk'!$A:$H,3,FALSE)</f>
        <v>CSC 6</v>
      </c>
      <c r="N60" s="72">
        <f>VLOOKUP($B60,'Standards Crosswalk'!$A:$H,4,FALSE)</f>
        <v>0</v>
      </c>
      <c r="O60" s="72" t="str">
        <f>VLOOKUP($B60,'Standards Crosswalk'!$A:$H,5,FALSE)</f>
        <v>12.4</v>
      </c>
      <c r="P60" s="72" t="str">
        <f>VLOOKUP($B60,'Standards Crosswalk'!$A:$H,6,FALSE)</f>
        <v>PR.PT-1</v>
      </c>
      <c r="Q60" s="72" t="str">
        <f>VLOOKUP($B60,'Standards Crosswalk'!$A:$H,7,FALSE)</f>
        <v>3.1.7, 3.3.1</v>
      </c>
      <c r="R60" s="72" t="str">
        <f>VLOOKUP($B60,'Standards Crosswalk'!$A:$H,8,FALSE)</f>
        <v>AC-6(1,3,9), AU-2, AU-2(3), AU-3, AU-7, AU-9(4), AU-12, NIST 800-92</v>
      </c>
      <c r="S60" s="72" t="str">
        <f>VLOOKUP($B60,'Standards Crosswalk'!$A:$I,9,FALSE)</f>
        <v>10.1, 10.2, 10.3, 10.5, 10.6, 10.7</v>
      </c>
    </row>
    <row r="61" spans="1:19" ht="73.5" customHeight="1" thickBot="1" x14ac:dyDescent="0.2">
      <c r="A61" s="71">
        <f t="shared" si="1"/>
        <v>59</v>
      </c>
      <c r="B61" s="77" t="s">
        <v>225</v>
      </c>
      <c r="C61" s="78"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71">
        <f>VLOOKUP(B61,'HECVAT - Full'!A:E,4,FALSE)</f>
        <v>0</v>
      </c>
      <c r="E61" s="79" t="b">
        <f>IF(Table1[[#This Row],[Column11]]&gt;20,TRUE,FALSE)</f>
        <v>1</v>
      </c>
      <c r="F61" s="79" t="s">
        <v>2029</v>
      </c>
      <c r="G61" s="80" t="s">
        <v>19</v>
      </c>
      <c r="H61" s="81">
        <v>1</v>
      </c>
      <c r="I61" s="71" t="str">
        <f>VLOOKUP(B61,'HECVAT - Full'!A:E,3,FALSE)</f>
        <v xml:space="preserve">Management and security/authorization changes are logged. Security events are also monitored and logged, including login failures. </v>
      </c>
      <c r="J61" s="71">
        <f>IF(VLOOKUP(Table1[[#This Row],[Column2]],'Analyst Report'!$A$41:$G$88,7,FALSE)="Yes",1,0)</f>
        <v>0</v>
      </c>
      <c r="K61" s="71">
        <f>IF(Table1[[#This Row],[Column8]]=1,25,"")</f>
        <v>25</v>
      </c>
      <c r="L61" s="71">
        <f>IF(Table1[[#This Row],[Column8]]=1,J61*K61,"")</f>
        <v>0</v>
      </c>
      <c r="M61" s="72" t="str">
        <f>VLOOKUP($B61,'Standards Crosswalk'!$A:$H,3,FALSE)</f>
        <v>CSC 6</v>
      </c>
      <c r="N61" s="72">
        <f>VLOOKUP($B61,'Standards Crosswalk'!$A:$H,4,FALSE)</f>
        <v>0</v>
      </c>
      <c r="O61" s="72" t="str">
        <f>VLOOKUP($B61,'Standards Crosswalk'!$A:$H,5,FALSE)</f>
        <v>12.4</v>
      </c>
      <c r="P61" s="72" t="str">
        <f>VLOOKUP($B61,'Standards Crosswalk'!$A:$H,6,FALSE)</f>
        <v>PR.PT-1</v>
      </c>
      <c r="Q61" s="72" t="str">
        <f>VLOOKUP($B61,'Standards Crosswalk'!$A:$H,7,FALSE)</f>
        <v>3.1.7, 3.3.2, 3.3.3, 3.3.4, 3.3.5, 3.4.3, 3.7.1, 3.7.6, 3.10.4, 3.10.5</v>
      </c>
      <c r="R61" s="72" t="str">
        <f>VLOOKUP($B61,'Standards Crosswalk'!$A:$H,8,FALSE)</f>
        <v>AU-2(3), AU-6, AU-12, AC-6(9), CM-3, MA-2, MA-5, PE-3</v>
      </c>
      <c r="S61" s="72" t="str">
        <f>VLOOKUP($B61,'Standards Crosswalk'!$A:$I,9,FALSE)</f>
        <v>10.1, 10.2, 10.3, 10.5, 10.6, 10.7, 9.x</v>
      </c>
    </row>
    <row r="62" spans="1:19" ht="329" thickBot="1" x14ac:dyDescent="0.2">
      <c r="A62" s="71">
        <f t="shared" si="1"/>
        <v>60</v>
      </c>
      <c r="B62" s="77" t="s">
        <v>226</v>
      </c>
      <c r="C62" s="78" t="str">
        <f>VLOOKUP(B62,'HECVAT - Full'!A:E,2,FALSE)</f>
        <v>Describe or provide a reference to the retention period for those logs, how logs are protected, and whether they are accessible to the customer (and if so, how).</v>
      </c>
      <c r="D62" s="71">
        <f>VLOOKUP(B62,'HECVAT - Full'!A:E,4,FALSE)</f>
        <v>0</v>
      </c>
      <c r="E62" s="79" t="b">
        <f>IF(Table1[[#This Row],[Column11]]&gt;20,TRUE,FALSE)</f>
        <v>0</v>
      </c>
      <c r="F62" s="79" t="s">
        <v>2029</v>
      </c>
      <c r="G62" s="98" t="s">
        <v>16</v>
      </c>
      <c r="H62" s="81">
        <v>1</v>
      </c>
      <c r="I62" s="71" t="str">
        <f>VLOOKUP(B62,'HECVAT - Full'!A:E,3,FALSE)</f>
        <v xml:space="preserve">They are retained for 90 days; they are not accessible by the customer.	</v>
      </c>
      <c r="J62" s="71">
        <f>IF(Table1[[#This Row],[Column7]]=Table1[[#This Row],[Column9]],1,0)</f>
        <v>0</v>
      </c>
      <c r="K62" s="71">
        <f>IF(Table1[[#This Row],[Column8]]=1,20,"")</f>
        <v>20</v>
      </c>
      <c r="L62" s="71">
        <f>IF(Table1[[#This Row],[Column8]]=1,J62*K62,"")</f>
        <v>0</v>
      </c>
      <c r="M62" s="72" t="str">
        <f>VLOOKUP($B62,'Standards Crosswalk'!$A:$H,3,FALSE)</f>
        <v>CSC 6</v>
      </c>
      <c r="N62" s="72">
        <f>VLOOKUP($B62,'Standards Crosswalk'!$A:$H,4,FALSE)</f>
        <v>0</v>
      </c>
      <c r="O62" s="72" t="str">
        <f>VLOOKUP($B62,'Standards Crosswalk'!$A:$H,5,FALSE)</f>
        <v>12.4</v>
      </c>
      <c r="P62" s="72" t="str">
        <f>VLOOKUP($B62,'Standards Crosswalk'!$A:$H,6,FALSE)</f>
        <v>PR.PT-1</v>
      </c>
      <c r="Q62" s="72" t="str">
        <f>VLOOKUP($B62,'Standards Crosswalk'!$A:$H,7,FALSE)</f>
        <v>3.3.8, 3.3.9</v>
      </c>
      <c r="R62" s="72" t="str">
        <f>VLOOKUP($B62,'Standards Crosswalk'!$A:$H,8,FALSE)</f>
        <v>AU-9</v>
      </c>
      <c r="S62" s="72">
        <f>VLOOKUP($B62,'Standards Crosswalk'!$A:$I,9,FALSE)</f>
        <v>10.7</v>
      </c>
    </row>
    <row r="63" spans="1:19" ht="286" thickBot="1" x14ac:dyDescent="0.2">
      <c r="A63" s="71">
        <f t="shared" si="1"/>
        <v>61</v>
      </c>
      <c r="B63" s="77" t="s">
        <v>209</v>
      </c>
      <c r="C63" s="78" t="str">
        <f>VLOOKUP(B63,'HECVAT - Full'!A:E,2,FALSE)</f>
        <v>Describe or provide a reference to your Business Continuity Plan (BCP).</v>
      </c>
      <c r="D63" s="71">
        <f>VLOOKUP(B63,'HECVAT - Full'!A:E,4,FALSE)</f>
        <v>0</v>
      </c>
      <c r="E63" s="79" t="b">
        <f>IF(Table1[[#This Row],[Column11]]&gt;20,TRUE,FALSE)</f>
        <v>1</v>
      </c>
      <c r="F63" s="79" t="s">
        <v>2030</v>
      </c>
      <c r="G63" s="80" t="s">
        <v>16</v>
      </c>
      <c r="H63" s="81">
        <v>1</v>
      </c>
      <c r="I63" s="71" t="str">
        <f>VLOOKUP(B63,'HECVAT - Full'!A:E,3,FALSE)</f>
        <v>Please see the Business Continuity and Disaster Recovery Plan</v>
      </c>
      <c r="J63" s="71">
        <f>IF(VLOOKUP(Table1[[#This Row],[Column2]],'Analyst Report'!$A$41:$G$88,7,FALSE)="Yes",1,0)</f>
        <v>0</v>
      </c>
      <c r="K63" s="71">
        <f>IF(Table1[[#This Row],[Column8]]=1,25,"")</f>
        <v>25</v>
      </c>
      <c r="L63" s="71">
        <f>IF(Table1[[#This Row],[Column8]]=1,J63*K63,"")</f>
        <v>0</v>
      </c>
      <c r="M63" s="72" t="str">
        <f>VLOOKUP($B63,'Standards Crosswalk'!$A:$H,3,FALSE)</f>
        <v>CSC 10</v>
      </c>
      <c r="N63" s="72">
        <f>VLOOKUP($B63,'Standards Crosswalk'!$A:$H,4,FALSE)</f>
        <v>0</v>
      </c>
      <c r="O63" s="72" t="str">
        <f>VLOOKUP($B63,'Standards Crosswalk'!$A:$H,5,FALSE)</f>
        <v>17.1.1</v>
      </c>
      <c r="P63" s="72" t="str">
        <f>VLOOKUP($B63,'Standards Crosswalk'!$A:$H,6,FALSE)</f>
        <v>PR.IP-9</v>
      </c>
      <c r="Q63" s="72" t="str">
        <f>VLOOKUP($B63,'Standards Crosswalk'!$A:$H,7,FALSE)</f>
        <v>3.12.2</v>
      </c>
      <c r="R63" s="72" t="str">
        <f>VLOOKUP($B63,'Standards Crosswalk'!$A:$H,8,FALSE)</f>
        <v>AU-7, AU-9, IR-4, AC-5, CP-4, CP-10; NIST SP 800-34</v>
      </c>
      <c r="S63" s="72">
        <f>VLOOKUP($B63,'Standards Crosswalk'!$A:$I,9,FALSE)</f>
        <v>0</v>
      </c>
    </row>
    <row r="64" spans="1:19" ht="166" thickBot="1" x14ac:dyDescent="0.2">
      <c r="A64" s="71">
        <f t="shared" si="1"/>
        <v>62</v>
      </c>
      <c r="B64" s="77" t="s">
        <v>227</v>
      </c>
      <c r="C64" s="78" t="str">
        <f>VLOOKUP(B64,'HECVAT - Full'!A:E,2,FALSE)</f>
        <v>May the Institution review your BCP and supporting documentation?</v>
      </c>
      <c r="D64" s="71" t="str">
        <f>VLOOKUP(B64,'HECVAT - Full'!A:E,4,FALSE)</f>
        <v xml:space="preserve">Please see the Business Continuity and Disaster Recovery Plan	</v>
      </c>
      <c r="E64" s="79" t="b">
        <f>IF(Table1[[#This Row],[Column11]]&gt;20,TRUE,FALSE)</f>
        <v>0</v>
      </c>
      <c r="F64" s="79" t="s">
        <v>2030</v>
      </c>
      <c r="G64" s="80" t="s">
        <v>16</v>
      </c>
      <c r="H64" s="81">
        <v>1</v>
      </c>
      <c r="I64" s="71" t="str">
        <f>VLOOKUP(B64,'HECVAT - Full'!A:E,3,FALSE)</f>
        <v>Yes</v>
      </c>
      <c r="J64" s="71">
        <f>IF(Table1[[#This Row],[Column7]]=Table1[[#This Row],[Column9]],1,0)</f>
        <v>1</v>
      </c>
      <c r="K64" s="71">
        <f>IF(Table1[[#This Row],[Column8]]=1,20,"")</f>
        <v>20</v>
      </c>
      <c r="L64" s="71">
        <f>IF(Table1[[#This Row],[Column8]]=1,J64*K64,"")</f>
        <v>20</v>
      </c>
      <c r="M64" s="72" t="str">
        <f>VLOOKUP($B64,'Standards Crosswalk'!$A:$H,3,FALSE)</f>
        <v>CSC 10</v>
      </c>
      <c r="N64" s="72">
        <f>VLOOKUP($B64,'Standards Crosswalk'!$A:$H,4,FALSE)</f>
        <v>0</v>
      </c>
      <c r="O64" s="72">
        <f>VLOOKUP($B64,'Standards Crosswalk'!$A:$H,5,FALSE)</f>
        <v>0</v>
      </c>
      <c r="P64" s="72" t="str">
        <f>VLOOKUP($B64,'Standards Crosswalk'!$A:$H,6,FALSE)</f>
        <v>PR.IP-9</v>
      </c>
      <c r="Q64" s="72" t="str">
        <f>VLOOKUP($B64,'Standards Crosswalk'!$A:$H,7,FALSE)</f>
        <v>3.12.2</v>
      </c>
      <c r="R64" s="72" t="str">
        <f>VLOOKUP($B64,'Standards Crosswalk'!$A:$H,8,FALSE)</f>
        <v>AC-5, CP-4, CP-10; NIST SP 800-34</v>
      </c>
      <c r="S64" s="72">
        <f>VLOOKUP($B64,'Standards Crosswalk'!$A:$I,9,FALSE)</f>
        <v>0</v>
      </c>
    </row>
    <row r="65" spans="1:19" ht="61" thickBot="1" x14ac:dyDescent="0.2">
      <c r="A65" s="71">
        <f t="shared" si="1"/>
        <v>63</v>
      </c>
      <c r="B65" s="77" t="s">
        <v>228</v>
      </c>
      <c r="C65" s="78" t="str">
        <f>VLOOKUP(B65,'HECVAT - Full'!A:E,2,FALSE)</f>
        <v>Is an owner assigned who is responsible for the maintenance and review of the Business Continuity Plan?</v>
      </c>
      <c r="D65" s="71" t="str">
        <f>VLOOKUP(B65,'HECVAT - Full'!A:E,4,FALSE)</f>
        <v>Zach Mangum, CEO</v>
      </c>
      <c r="E65" s="79" t="b">
        <f>IF(Table1[[#This Row],[Column11]]&gt;20,TRUE,FALSE)</f>
        <v>0</v>
      </c>
      <c r="F65" s="79" t="s">
        <v>2030</v>
      </c>
      <c r="G65" s="80" t="s">
        <v>16</v>
      </c>
      <c r="H65" s="81">
        <v>1</v>
      </c>
      <c r="I65" s="71" t="str">
        <f>VLOOKUP(B65,'HECVAT - Full'!A:E,3,FALSE)</f>
        <v>Yes</v>
      </c>
      <c r="J65" s="71">
        <f>IF(Table1[[#This Row],[Column7]]=Table1[[#This Row],[Column9]],1,0)</f>
        <v>1</v>
      </c>
      <c r="K65" s="71">
        <f>IF(Table1[[#This Row],[Column8]]=1,20,"")</f>
        <v>20</v>
      </c>
      <c r="L65" s="71">
        <f>IF(Table1[[#This Row],[Column8]]=1,J65*K65,"")</f>
        <v>20</v>
      </c>
      <c r="M65" s="72" t="str">
        <f>VLOOKUP($B65,'Standards Crosswalk'!$A:$H,3,FALSE)</f>
        <v>CSC 10</v>
      </c>
      <c r="N65" s="72">
        <f>VLOOKUP($B65,'Standards Crosswalk'!$A:$H,4,FALSE)</f>
        <v>0</v>
      </c>
      <c r="O65" s="72" t="str">
        <f>VLOOKUP($B65,'Standards Crosswalk'!$A:$H,5,FALSE)</f>
        <v>17.1.1</v>
      </c>
      <c r="P65" s="72" t="str">
        <f>VLOOKUP($B65,'Standards Crosswalk'!$A:$H,6,FALSE)</f>
        <v>PR.IP-9</v>
      </c>
      <c r="Q65" s="72" t="str">
        <f>VLOOKUP($B65,'Standards Crosswalk'!$A:$H,7,FALSE)</f>
        <v>3.12.2</v>
      </c>
      <c r="R65" s="72" t="str">
        <f>VLOOKUP($B65,'Standards Crosswalk'!$A:$H,8,FALSE)</f>
        <v>AU-7, AU-9, IR-4, AC-5, CP-4, CP-10; NIST SP 800-34</v>
      </c>
      <c r="S65" s="72">
        <f>VLOOKUP($B65,'Standards Crosswalk'!$A:$I,9,FALSE)</f>
        <v>0</v>
      </c>
    </row>
    <row r="66" spans="1:19" ht="166" thickBot="1" x14ac:dyDescent="0.2">
      <c r="A66" s="71">
        <f t="shared" si="1"/>
        <v>64</v>
      </c>
      <c r="B66" s="77" t="s">
        <v>229</v>
      </c>
      <c r="C66" s="78" t="str">
        <f>VLOOKUP(B66,'HECVAT - Full'!A:E,2,FALSE)</f>
        <v>Is there a defined problem/issue escalation plan in your BCP for impacted clients?</v>
      </c>
      <c r="D66" s="71" t="str">
        <f>VLOOKUP(B66,'HECVAT - Full'!A:E,4,FALSE)</f>
        <v xml:space="preserve">Please see the Business Continuity and Disaster Recovery Plan	</v>
      </c>
      <c r="E66" s="79" t="b">
        <f>IF(Table1[[#This Row],[Column11]]&gt;20,TRUE,FALSE)</f>
        <v>0</v>
      </c>
      <c r="F66" s="79" t="s">
        <v>2030</v>
      </c>
      <c r="G66" s="80" t="s">
        <v>16</v>
      </c>
      <c r="H66" s="81">
        <v>1</v>
      </c>
      <c r="I66" s="71" t="str">
        <f>VLOOKUP(B66,'HECVAT - Full'!A:E,3,FALSE)</f>
        <v>Yes</v>
      </c>
      <c r="J66" s="71">
        <f>IF(Table1[[#This Row],[Column7]]=Table1[[#This Row],[Column9]],1,0)</f>
        <v>1</v>
      </c>
      <c r="K66" s="71">
        <f>IF(Table1[[#This Row],[Column8]]=1,20,"")</f>
        <v>20</v>
      </c>
      <c r="L66" s="71">
        <f>IF(Table1[[#This Row],[Column8]]=1,J66*K66,"")</f>
        <v>20</v>
      </c>
      <c r="M66" s="72" t="str">
        <f>VLOOKUP($B66,'Standards Crosswalk'!$A:$H,3,FALSE)</f>
        <v>CSC 10</v>
      </c>
      <c r="N66" s="72">
        <f>VLOOKUP($B66,'Standards Crosswalk'!$A:$H,4,FALSE)</f>
        <v>0</v>
      </c>
      <c r="O66" s="72" t="str">
        <f>VLOOKUP($B66,'Standards Crosswalk'!$A:$H,5,FALSE)</f>
        <v>17</v>
      </c>
      <c r="P66" s="72" t="str">
        <f>VLOOKUP($B66,'Standards Crosswalk'!$A:$H,6,FALSE)</f>
        <v>PR.IP-9</v>
      </c>
      <c r="Q66" s="72" t="str">
        <f>VLOOKUP($B66,'Standards Crosswalk'!$A:$H,7,FALSE)</f>
        <v>3.12.2</v>
      </c>
      <c r="R66" s="72" t="str">
        <f>VLOOKUP($B66,'Standards Crosswalk'!$A:$H,8,FALSE)</f>
        <v>AU-7, AU-9, IR-4, AC-5, CP-4, CP-10; NIST SP 800-34</v>
      </c>
      <c r="S66" s="72">
        <f>VLOOKUP($B66,'Standards Crosswalk'!$A:$I,9,FALSE)</f>
        <v>0</v>
      </c>
    </row>
    <row r="67" spans="1:19" ht="151" thickBot="1" x14ac:dyDescent="0.2">
      <c r="A67" s="71">
        <f t="shared" si="1"/>
        <v>65</v>
      </c>
      <c r="B67" s="77" t="s">
        <v>230</v>
      </c>
      <c r="C67" s="78" t="str">
        <f>VLOOKUP(B67,'HECVAT - Full'!A:E,2,FALSE)</f>
        <v>Is there a documented communication plan in your BCP for impacted clients?</v>
      </c>
      <c r="D67" s="71" t="str">
        <f>VLOOKUP(B67,'HECVAT - Full'!A:E,4,FALSE)</f>
        <v>Please see the Business Continuity and Disaster Recovery Plan</v>
      </c>
      <c r="E67" s="79" t="b">
        <f>IF(Table1[[#This Row],[Column11]]&gt;20,TRUE,FALSE)</f>
        <v>0</v>
      </c>
      <c r="F67" s="79" t="s">
        <v>2030</v>
      </c>
      <c r="G67" s="80" t="s">
        <v>16</v>
      </c>
      <c r="H67" s="81">
        <v>1</v>
      </c>
      <c r="I67" s="71" t="str">
        <f>VLOOKUP(B67,'HECVAT - Full'!A:E,3,FALSE)</f>
        <v>Yes</v>
      </c>
      <c r="J67" s="71">
        <f>IF(Table1[[#This Row],[Column7]]=Table1[[#This Row],[Column9]],1,0)</f>
        <v>1</v>
      </c>
      <c r="K67" s="71">
        <f>IF(Table1[[#This Row],[Column8]]=1,20,"")</f>
        <v>20</v>
      </c>
      <c r="L67" s="71">
        <f>IF(Table1[[#This Row],[Column8]]=1,J67*K67,"")</f>
        <v>20</v>
      </c>
      <c r="M67" s="72" t="str">
        <f>VLOOKUP($B67,'Standards Crosswalk'!$A:$H,3,FALSE)</f>
        <v>CSC 10</v>
      </c>
      <c r="N67" s="72">
        <f>VLOOKUP($B67,'Standards Crosswalk'!$A:$H,4,FALSE)</f>
        <v>0</v>
      </c>
      <c r="O67" s="72" t="str">
        <f>VLOOKUP($B67,'Standards Crosswalk'!$A:$H,5,FALSE)</f>
        <v>17.1.2</v>
      </c>
      <c r="P67" s="72" t="str">
        <f>VLOOKUP($B67,'Standards Crosswalk'!$A:$H,6,FALSE)</f>
        <v>PR.IP-9</v>
      </c>
      <c r="Q67" s="72" t="str">
        <f>VLOOKUP($B67,'Standards Crosswalk'!$A:$H,7,FALSE)</f>
        <v>3.12.2</v>
      </c>
      <c r="R67" s="72" t="str">
        <f>VLOOKUP($B67,'Standards Crosswalk'!$A:$H,8,FALSE)</f>
        <v>AU-7, AU-9, IR-4, AC-5, CP-4, CP-10; NIST SP 800-34</v>
      </c>
      <c r="S67" s="72">
        <f>VLOOKUP($B67,'Standards Crosswalk'!$A:$I,9,FALSE)</f>
        <v>0</v>
      </c>
    </row>
    <row r="68" spans="1:19" ht="61" thickBot="1" x14ac:dyDescent="0.2">
      <c r="A68" s="71">
        <f t="shared" ref="A68:A131" si="4">A67+1</f>
        <v>66</v>
      </c>
      <c r="B68" s="77" t="s">
        <v>231</v>
      </c>
      <c r="C68" s="78" t="str">
        <f>VLOOKUP(B68,'HECVAT - Full'!A:E,2,FALSE)</f>
        <v xml:space="preserve">Are all components of the BCP reviewed at least annually and updated as needed to reflect change? </v>
      </c>
      <c r="D68" s="71">
        <f>VLOOKUP(B68,'HECVAT - Full'!A:E,4,FALSE)</f>
        <v>0</v>
      </c>
      <c r="E68" s="79" t="b">
        <f>IF(Table1[[#This Row],[Column11]]&gt;20,TRUE,FALSE)</f>
        <v>1</v>
      </c>
      <c r="F68" s="79" t="s">
        <v>2030</v>
      </c>
      <c r="G68" s="80" t="s">
        <v>16</v>
      </c>
      <c r="H68" s="81">
        <v>1</v>
      </c>
      <c r="I68" s="71" t="str">
        <f>VLOOKUP(B68,'HECVAT - Full'!A:E,3,FALSE)</f>
        <v>Yes</v>
      </c>
      <c r="J68" s="71">
        <f>IF(Table1[[#This Row],[Column7]]=Table1[[#This Row],[Column9]],1,0)</f>
        <v>1</v>
      </c>
      <c r="K68" s="71">
        <f>IF(Table1[[#This Row],[Column8]]=1,25,"")</f>
        <v>25</v>
      </c>
      <c r="L68" s="71">
        <f>IF(Table1[[#This Row],[Column8]]=1,J68*K68,"")</f>
        <v>25</v>
      </c>
      <c r="M68" s="72" t="str">
        <f>VLOOKUP($B68,'Standards Crosswalk'!$A:$H,3,FALSE)</f>
        <v>CSC 10</v>
      </c>
      <c r="N68" s="72">
        <f>VLOOKUP($B68,'Standards Crosswalk'!$A:$H,4,FALSE)</f>
        <v>0</v>
      </c>
      <c r="O68" s="72" t="str">
        <f>VLOOKUP($B68,'Standards Crosswalk'!$A:$H,5,FALSE)</f>
        <v>17.1.2</v>
      </c>
      <c r="P68" s="72" t="str">
        <f>VLOOKUP($B68,'Standards Crosswalk'!$A:$H,6,FALSE)</f>
        <v>PR.IP-9</v>
      </c>
      <c r="Q68" s="72" t="str">
        <f>VLOOKUP($B68,'Standards Crosswalk'!$A:$H,7,FALSE)</f>
        <v>3.12.2</v>
      </c>
      <c r="R68" s="72" t="str">
        <f>VLOOKUP($B68,'Standards Crosswalk'!$A:$H,8,FALSE)</f>
        <v>AU-7, AU-9, IR-4, AC-5, CP-4, CP-10; NIST SP 800-34</v>
      </c>
      <c r="S68" s="72">
        <f>VLOOKUP($B68,'Standards Crosswalk'!$A:$I,9,FALSE)</f>
        <v>0</v>
      </c>
    </row>
    <row r="69" spans="1:19" ht="106" thickBot="1" x14ac:dyDescent="0.2">
      <c r="A69" s="71">
        <f t="shared" si="4"/>
        <v>67</v>
      </c>
      <c r="B69" s="77" t="s">
        <v>232</v>
      </c>
      <c r="C69" s="78" t="str">
        <f>VLOOKUP(B69,'HECVAT - Full'!A:E,2,FALSE)</f>
        <v xml:space="preserve">Has your BCP been tested in the last year? </v>
      </c>
      <c r="D69" s="71" t="str">
        <f>VLOOKUP(B69,'HECVAT - Full'!A:E,4,FALSE)</f>
        <v>We are planning a test by the end of Q2 2021</v>
      </c>
      <c r="E69" s="79" t="b">
        <f>IF(Table1[[#This Row],[Column11]]&gt;20,TRUE,FALSE)</f>
        <v>1</v>
      </c>
      <c r="F69" s="79" t="s">
        <v>2030</v>
      </c>
      <c r="G69" s="80" t="s">
        <v>16</v>
      </c>
      <c r="H69" s="81">
        <v>1</v>
      </c>
      <c r="I69" s="71" t="str">
        <f>VLOOKUP(B69,'HECVAT - Full'!A:E,3,FALSE)</f>
        <v>No</v>
      </c>
      <c r="J69" s="71">
        <f>IF(Table1[[#This Row],[Column7]]=Table1[[#This Row],[Column9]],1,0)</f>
        <v>0</v>
      </c>
      <c r="K69" s="71">
        <f>IF(Table1[[#This Row],[Column8]]=1,25,"")</f>
        <v>25</v>
      </c>
      <c r="L69" s="71">
        <f>IF(Table1[[#This Row],[Column8]]=1,J69*K69,"")</f>
        <v>0</v>
      </c>
      <c r="M69" s="72" t="str">
        <f>VLOOKUP($B69,'Standards Crosswalk'!$A:$H,3,FALSE)</f>
        <v>CSC 10</v>
      </c>
      <c r="N69" s="72">
        <f>VLOOKUP($B69,'Standards Crosswalk'!$A:$H,4,FALSE)</f>
        <v>0</v>
      </c>
      <c r="O69" s="72" t="str">
        <f>VLOOKUP($B69,'Standards Crosswalk'!$A:$H,5,FALSE)</f>
        <v>17.1.3</v>
      </c>
      <c r="P69" s="72" t="str">
        <f>VLOOKUP($B69,'Standards Crosswalk'!$A:$H,6,FALSE)</f>
        <v>PR.IP-9</v>
      </c>
      <c r="Q69" s="72" t="str">
        <f>VLOOKUP($B69,'Standards Crosswalk'!$A:$H,7,FALSE)</f>
        <v>3.12.2</v>
      </c>
      <c r="R69" s="72" t="str">
        <f>VLOOKUP($B69,'Standards Crosswalk'!$A:$H,8,FALSE)</f>
        <v>AU-7, AU-9, IR-4, AC-5, CP-4, CP-10; NIST SP 800-34</v>
      </c>
      <c r="S69" s="72">
        <f>VLOOKUP($B69,'Standards Crosswalk'!$A:$I,9,FALSE)</f>
        <v>0</v>
      </c>
    </row>
    <row r="70" spans="1:19" ht="196" thickBot="1" x14ac:dyDescent="0.2">
      <c r="A70" s="71">
        <f t="shared" si="4"/>
        <v>68</v>
      </c>
      <c r="B70" s="77" t="s">
        <v>233</v>
      </c>
      <c r="C70" s="78" t="str">
        <f>VLOOKUP(B70,'HECVAT - Full'!A:E,2,FALSE)</f>
        <v>Does your organization conduct training and awareness activities to validate its employees understanding of their roles and responsibilities during a crisis?</v>
      </c>
      <c r="D70" s="71" t="str">
        <f>VLOOKUP(B70,'HECVAT - Full'!A:E,4,FALSE)</f>
        <v>We perform annual security awareness trainings with our entire staff.</v>
      </c>
      <c r="E70" s="79" t="b">
        <f>IF(Table1[[#This Row],[Column11]]&gt;20,TRUE,FALSE)</f>
        <v>0</v>
      </c>
      <c r="F70" s="79" t="s">
        <v>2030</v>
      </c>
      <c r="G70" s="80" t="s">
        <v>16</v>
      </c>
      <c r="H70" s="81">
        <v>1</v>
      </c>
      <c r="I70" s="71" t="str">
        <f>VLOOKUP(B70,'HECVAT - Full'!A:E,3,FALSE)</f>
        <v>Yes</v>
      </c>
      <c r="J70" s="71">
        <f>IF(Table1[[#This Row],[Column7]]=Table1[[#This Row],[Column9]],1,0)</f>
        <v>1</v>
      </c>
      <c r="K70" s="71">
        <f>IF(Table1[[#This Row],[Column8]]=1,20,"")</f>
        <v>20</v>
      </c>
      <c r="L70" s="71">
        <f>IF(Table1[[#This Row],[Column8]]=1,J70*K70,"")</f>
        <v>20</v>
      </c>
      <c r="M70" s="72" t="str">
        <f>VLOOKUP($B70,'Standards Crosswalk'!$A:$H,3,FALSE)</f>
        <v>CSC 10</v>
      </c>
      <c r="N70" s="72">
        <f>VLOOKUP($B70,'Standards Crosswalk'!$A:$H,4,FALSE)</f>
        <v>0</v>
      </c>
      <c r="O70" s="72" t="str">
        <f>VLOOKUP($B70,'Standards Crosswalk'!$A:$H,5,FALSE)</f>
        <v>7.2.2, 17.1.3</v>
      </c>
      <c r="P70" s="72" t="str">
        <f>VLOOKUP($B70,'Standards Crosswalk'!$A:$H,6,FALSE)</f>
        <v>PR.IP-9</v>
      </c>
      <c r="Q70" s="72" t="str">
        <f>VLOOKUP($B70,'Standards Crosswalk'!$A:$H,7,FALSE)</f>
        <v>3.2.1, 3.2.2</v>
      </c>
      <c r="R70" s="72" t="str">
        <f>VLOOKUP($B70,'Standards Crosswalk'!$A:$H,8,FALSE)</f>
        <v>AT-3, AC-5, CP-4, CP-10; NIST SP 800-34</v>
      </c>
      <c r="S70" s="72" t="str">
        <f>VLOOKUP($B70,'Standards Crosswalk'!$A:$I,9,FALSE)</f>
        <v>12.x</v>
      </c>
    </row>
    <row r="71" spans="1:19" ht="151" thickBot="1" x14ac:dyDescent="0.2">
      <c r="A71" s="71">
        <f t="shared" si="4"/>
        <v>69</v>
      </c>
      <c r="B71" s="77" t="s">
        <v>234</v>
      </c>
      <c r="C71" s="78" t="str">
        <f>VLOOKUP(B71,'HECVAT - Full'!A:E,2,FALSE)</f>
        <v>Are specific crisis management roles and responsibilities defined and documented?</v>
      </c>
      <c r="D71" s="71" t="str">
        <f>VLOOKUP(B71,'HECVAT - Full'!A:E,4,FALSE)</f>
        <v>Please see the Business Continuity and Disaster Recovery Plan</v>
      </c>
      <c r="E71" s="79" t="b">
        <f>IF(Table1[[#This Row],[Column11]]&gt;20,TRUE,FALSE)</f>
        <v>0</v>
      </c>
      <c r="F71" s="79" t="s">
        <v>2030</v>
      </c>
      <c r="G71" s="80" t="s">
        <v>16</v>
      </c>
      <c r="H71" s="81">
        <v>1</v>
      </c>
      <c r="I71" s="71" t="str">
        <f>VLOOKUP(B71,'HECVAT - Full'!A:E,3,FALSE)</f>
        <v>Yes</v>
      </c>
      <c r="J71" s="71">
        <f>IF(Table1[[#This Row],[Column7]]=Table1[[#This Row],[Column9]],1,0)</f>
        <v>1</v>
      </c>
      <c r="K71" s="71">
        <f>IF(Table1[[#This Row],[Column8]]=1,20,"")</f>
        <v>20</v>
      </c>
      <c r="L71" s="71">
        <f>IF(Table1[[#This Row],[Column8]]=1,J71*K71,"")</f>
        <v>20</v>
      </c>
      <c r="M71" s="72" t="str">
        <f>VLOOKUP($B71,'Standards Crosswalk'!$A:$H,3,FALSE)</f>
        <v>CSC 10</v>
      </c>
      <c r="N71" s="72">
        <f>VLOOKUP($B71,'Standards Crosswalk'!$A:$H,4,FALSE)</f>
        <v>0</v>
      </c>
      <c r="O71" s="72" t="str">
        <f>VLOOKUP($B71,'Standards Crosswalk'!$A:$H,5,FALSE)</f>
        <v>7.2.2, 16.1.1, 17.1.3</v>
      </c>
      <c r="P71" s="72" t="str">
        <f>VLOOKUP($B71,'Standards Crosswalk'!$A:$H,6,FALSE)</f>
        <v>PR.IP-9</v>
      </c>
      <c r="Q71" s="72">
        <f>VLOOKUP($B71,'Standards Crosswalk'!$A:$H,7,FALSE)</f>
        <v>0</v>
      </c>
      <c r="R71" s="72" t="str">
        <f>VLOOKUP($B71,'Standards Crosswalk'!$A:$H,8,FALSE)</f>
        <v>AC-5, CP-4, CP-10; NIST SP 800-34</v>
      </c>
      <c r="S71" s="72" t="str">
        <f>VLOOKUP($B71,'Standards Crosswalk'!$A:$I,9,FALSE)</f>
        <v>12.x</v>
      </c>
    </row>
    <row r="72" spans="1:19" ht="151" thickBot="1" x14ac:dyDescent="0.2">
      <c r="A72" s="71">
        <f t="shared" si="4"/>
        <v>70</v>
      </c>
      <c r="B72" s="77" t="s">
        <v>235</v>
      </c>
      <c r="C72" s="78" t="str">
        <f>VLOOKUP(B72,'HECVAT - Full'!A:E,2,FALSE)</f>
        <v>Does your organization have an alternative business site or a contracted Business Recovery provider?</v>
      </c>
      <c r="D72" s="71" t="str">
        <f>VLOOKUP(B72,'HECVAT - Full'!A:E,4,FALSE)</f>
        <v>As a SaaS company that works remotely this is not necessary.</v>
      </c>
      <c r="E72" s="79" t="b">
        <f>IF(Table1[[#This Row],[Column11]]&gt;20,TRUE,FALSE)</f>
        <v>0</v>
      </c>
      <c r="F72" s="79" t="s">
        <v>2030</v>
      </c>
      <c r="G72" s="80" t="s">
        <v>16</v>
      </c>
      <c r="H72" s="81">
        <v>1</v>
      </c>
      <c r="I72" s="71" t="str">
        <f>VLOOKUP(B72,'HECVAT - Full'!A:E,3,FALSE)</f>
        <v>No</v>
      </c>
      <c r="J72" s="71">
        <f>IF(Table1[[#This Row],[Column7]]=Table1[[#This Row],[Column9]],1,0)</f>
        <v>0</v>
      </c>
      <c r="K72" s="71">
        <f>IF(Table1[[#This Row],[Column8]]=1,20,"")</f>
        <v>20</v>
      </c>
      <c r="L72" s="71">
        <f>IF(Table1[[#This Row],[Column8]]=1,J72*K72,"")</f>
        <v>0</v>
      </c>
      <c r="M72" s="72" t="str">
        <f>VLOOKUP($B72,'Standards Crosswalk'!$A:$H,3,FALSE)</f>
        <v>CSC 10</v>
      </c>
      <c r="N72" s="72">
        <f>VLOOKUP($B72,'Standards Crosswalk'!$A:$H,4,FALSE)</f>
        <v>0</v>
      </c>
      <c r="O72" s="72" t="str">
        <f>VLOOKUP($B72,'Standards Crosswalk'!$A:$H,5,FALSE)</f>
        <v>17.2.1</v>
      </c>
      <c r="P72" s="72" t="str">
        <f>VLOOKUP($B72,'Standards Crosswalk'!$A:$H,6,FALSE)</f>
        <v>PR.IP-9</v>
      </c>
      <c r="Q72" s="72">
        <f>VLOOKUP($B72,'Standards Crosswalk'!$A:$H,7,FALSE)</f>
        <v>0</v>
      </c>
      <c r="R72" s="72" t="str">
        <f>VLOOKUP($B72,'Standards Crosswalk'!$A:$H,8,FALSE)</f>
        <v>AC-5, CP-4, CP-10; NIST SP 800-34</v>
      </c>
      <c r="S72" s="72">
        <f>VLOOKUP($B72,'Standards Crosswalk'!$A:$I,9,FALSE)</f>
        <v>12.1</v>
      </c>
    </row>
    <row r="73" spans="1:19" ht="151" thickBot="1" x14ac:dyDescent="0.2">
      <c r="A73" s="71">
        <f t="shared" si="4"/>
        <v>71</v>
      </c>
      <c r="B73" s="77" t="s">
        <v>236</v>
      </c>
      <c r="C73" s="78" t="str">
        <f>VLOOKUP(B73,'HECVAT - Full'!A:E,2,FALSE)</f>
        <v>Does your organization conduct an annual test of relocating to an alternate site for business recovery purposes?</v>
      </c>
      <c r="D73" s="71" t="str">
        <f>VLOOKUP(B73,'HECVAT - Full'!A:E,4,FALSE)</f>
        <v>As a SaaS company that works remotely this is not necessary.</v>
      </c>
      <c r="E73" s="79" t="b">
        <f>IF(Table1[[#This Row],[Column11]]&gt;20,TRUE,FALSE)</f>
        <v>0</v>
      </c>
      <c r="F73" s="79" t="s">
        <v>2030</v>
      </c>
      <c r="G73" s="80" t="s">
        <v>16</v>
      </c>
      <c r="H73" s="81">
        <f>IF(I72="Yes",1,0)</f>
        <v>0</v>
      </c>
      <c r="I73" s="71" t="str">
        <f>VLOOKUP(B73,'HECVAT - Full'!A:E,3,FALSE)</f>
        <v>No</v>
      </c>
      <c r="J73" s="71">
        <f>IF(Table1[[#This Row],[Column7]]=Table1[[#This Row],[Column9]],1,0)</f>
        <v>0</v>
      </c>
      <c r="K73" s="71">
        <v>20</v>
      </c>
      <c r="L73" s="71" t="str">
        <f>IF(Table1[[#This Row],[Column8]]=1,J73*K73,"")</f>
        <v/>
      </c>
      <c r="M73" s="72" t="str">
        <f>VLOOKUP($B73,'Standards Crosswalk'!$A:$H,3,FALSE)</f>
        <v>CSC 10</v>
      </c>
      <c r="N73" s="72">
        <f>VLOOKUP($B73,'Standards Crosswalk'!$A:$H,4,FALSE)</f>
        <v>0</v>
      </c>
      <c r="O73" s="72" t="str">
        <f>VLOOKUP($B73,'Standards Crosswalk'!$A:$H,5,FALSE)</f>
        <v>17.1.3</v>
      </c>
      <c r="P73" s="72" t="str">
        <f>VLOOKUP($B73,'Standards Crosswalk'!$A:$H,6,FALSE)</f>
        <v>PR.IP-9</v>
      </c>
      <c r="Q73" s="72">
        <f>VLOOKUP($B73,'Standards Crosswalk'!$A:$H,7,FALSE)</f>
        <v>0</v>
      </c>
      <c r="R73" s="72" t="str">
        <f>VLOOKUP($B73,'Standards Crosswalk'!$A:$H,8,FALSE)</f>
        <v>AC-5, CP-4, CP-10; NIST SP 800-34</v>
      </c>
      <c r="S73" s="72">
        <f>VLOOKUP($B73,'Standards Crosswalk'!$A:$I,9,FALSE)</f>
        <v>12.1</v>
      </c>
    </row>
    <row r="74" spans="1:19" ht="196" thickBot="1" x14ac:dyDescent="0.2">
      <c r="A74" s="71">
        <f t="shared" si="4"/>
        <v>72</v>
      </c>
      <c r="B74" s="77" t="s">
        <v>237</v>
      </c>
      <c r="C74" s="78" t="str">
        <f>VLOOKUP(B74,'HECVAT - Full'!A:E,2,FALSE)</f>
        <v>Is this product a core service of your organization, and as such, the top priority during business continuity planning?</v>
      </c>
      <c r="D74" s="71" t="str">
        <f>VLOOKUP(B74,'HECVAT - Full'!A:E,4,FALSE)</f>
        <v>Pronto is the core product offering of Hit Labs and would receive the top priority.</v>
      </c>
      <c r="E74" s="79" t="b">
        <f>IF(Table1[[#This Row],[Column11]]&gt;20,TRUE,FALSE)</f>
        <v>0</v>
      </c>
      <c r="F74" s="79" t="s">
        <v>2030</v>
      </c>
      <c r="G74" s="80" t="s">
        <v>16</v>
      </c>
      <c r="H74" s="81">
        <v>1</v>
      </c>
      <c r="I74" s="71" t="str">
        <f>VLOOKUP(B74,'HECVAT - Full'!A:E,3,FALSE)</f>
        <v>Yes</v>
      </c>
      <c r="J74" s="71">
        <f>IF(Table1[[#This Row],[Column7]]=Table1[[#This Row],[Column9]],1,0)</f>
        <v>1</v>
      </c>
      <c r="K74" s="71">
        <f>IF(Table1[[#This Row],[Column8]]=1,15,"")</f>
        <v>15</v>
      </c>
      <c r="L74" s="71">
        <f>IF(Table1[[#This Row],[Column8]]=1,J74*K74,"")</f>
        <v>15</v>
      </c>
      <c r="M74" s="72" t="str">
        <f>VLOOKUP($B74,'Standards Crosswalk'!$A:$H,3,FALSE)</f>
        <v>CSC 10</v>
      </c>
      <c r="N74" s="72">
        <f>VLOOKUP($B74,'Standards Crosswalk'!$A:$H,4,FALSE)</f>
        <v>0</v>
      </c>
      <c r="O74" s="72">
        <f>VLOOKUP($B74,'Standards Crosswalk'!$A:$H,5,FALSE)</f>
        <v>0</v>
      </c>
      <c r="P74" s="72" t="str">
        <f>VLOOKUP($B74,'Standards Crosswalk'!$A:$H,6,FALSE)</f>
        <v>PR.IP-9</v>
      </c>
      <c r="Q74" s="72">
        <f>VLOOKUP($B74,'Standards Crosswalk'!$A:$H,7,FALSE)</f>
        <v>0</v>
      </c>
      <c r="R74" s="72" t="str">
        <f>VLOOKUP($B74,'Standards Crosswalk'!$A:$H,8,FALSE)</f>
        <v>AC-5, CP-4, CP-10; NIST SP 800-34</v>
      </c>
      <c r="S74" s="72">
        <f>VLOOKUP($B74,'Standards Crosswalk'!$A:$I,9,FALSE)</f>
        <v>12.1</v>
      </c>
    </row>
    <row r="75" spans="1:19" ht="409.6" thickBot="1" x14ac:dyDescent="0.2">
      <c r="A75" s="71">
        <f t="shared" si="4"/>
        <v>73</v>
      </c>
      <c r="B75" s="77" t="s">
        <v>238</v>
      </c>
      <c r="C75" s="78" t="str">
        <f>VLOOKUP(B75,'HECVAT - Full'!A:E,2,FALSE)</f>
        <v xml:space="preserve">Do you have a documented and currently followed change management process (CMP)? </v>
      </c>
      <c r="D75" s="71" t="str">
        <f>VLOOKUP(B75,'HECVAT - Full'!A:E,4,FALSE)</f>
        <v>All code is internally reviewed and tested before release. Pronto employs both code-level unit tests and integration tests in a parallel development environment that mirrors production. Security-impacting changes are reviewed by the lead security architect prior to deployment.</v>
      </c>
      <c r="E75" s="79" t="b">
        <f>IF(Table1[[#This Row],[Column11]]&gt;20,TRUE,FALSE)</f>
        <v>1</v>
      </c>
      <c r="F75" s="79" t="s">
        <v>2031</v>
      </c>
      <c r="G75" s="80" t="s">
        <v>16</v>
      </c>
      <c r="H75" s="81">
        <v>1</v>
      </c>
      <c r="I75" s="71" t="str">
        <f>VLOOKUP(B75,'HECVAT - Full'!A:E,3,FALSE)</f>
        <v>Yes</v>
      </c>
      <c r="J75" s="71">
        <f>IF(Table1[[#This Row],[Column7]]=Table1[[#This Row],[Column9]],1,0)</f>
        <v>1</v>
      </c>
      <c r="K75" s="71">
        <f>IF(Table1[[#This Row],[Column8]]=1,25,"")</f>
        <v>25</v>
      </c>
      <c r="L75" s="71">
        <f>IF(Table1[[#This Row],[Column8]]=1,J75*K75,"")</f>
        <v>25</v>
      </c>
      <c r="M75" s="72" t="str">
        <f>VLOOKUP($B75,'Standards Crosswalk'!$A:$H,3,FALSE)</f>
        <v>CSC 10</v>
      </c>
      <c r="N75" s="72">
        <f>VLOOKUP($B75,'Standards Crosswalk'!$A:$H,4,FALSE)</f>
        <v>0</v>
      </c>
      <c r="O75" s="72" t="str">
        <f>VLOOKUP($B75,'Standards Crosswalk'!$A:$H,5,FALSE)</f>
        <v>12.1.2</v>
      </c>
      <c r="P75" s="72" t="str">
        <f>VLOOKUP($B75,'Standards Crosswalk'!$A:$H,6,FALSE)</f>
        <v>PR.IP-3</v>
      </c>
      <c r="Q75" s="72" t="str">
        <f>VLOOKUP($B75,'Standards Crosswalk'!$A:$H,7,FALSE)</f>
        <v>3.4.3, 3.4.4</v>
      </c>
      <c r="R75" s="72" t="str">
        <f>VLOOKUP($B75,'Standards Crosswalk'!$A:$H,8,FALSE)</f>
        <v>CM-3, CM-4, CM-5</v>
      </c>
      <c r="S75" s="72" t="str">
        <f>VLOOKUP($B75,'Standards Crosswalk'!$A:$I,9,FALSE)</f>
        <v>6.4, 6.4.5, 6.4.5.1, 6.4.5.2</v>
      </c>
    </row>
    <row r="76" spans="1:19" ht="409.6" thickBot="1" x14ac:dyDescent="0.2">
      <c r="A76" s="71">
        <f t="shared" si="4"/>
        <v>74</v>
      </c>
      <c r="B76" s="77" t="s">
        <v>239</v>
      </c>
      <c r="C76" s="78"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71">
        <f>VLOOKUP(B76,'HECVAT - Full'!A:E,4,FALSE)</f>
        <v>0</v>
      </c>
      <c r="E76" s="79" t="b">
        <f>IF(Table1[[#This Row],[Column11]]&gt;20,TRUE,FALSE)</f>
        <v>0</v>
      </c>
      <c r="F76" s="79" t="s">
        <v>2031</v>
      </c>
      <c r="G76" s="80" t="s">
        <v>16</v>
      </c>
      <c r="H76" s="81">
        <v>1</v>
      </c>
      <c r="I76" s="71" t="str">
        <f>VLOOKUP(B76,'HECVAT - Full'!A:E,3,FALSE)</f>
        <v>All code is internally reviewed and tested before release. Pronto employs both code-level unit tests and integration tests in a parallel development environment that mirrors production. Security-impacting changes are reviewed by the lead security architect prior to deployment.</v>
      </c>
      <c r="J76" s="71">
        <f>IF(VLOOKUP(Table1[[#This Row],[Column2]],'Analyst Report'!$A$41:$G$88,7,FALSE)="Yes",1,0)</f>
        <v>0</v>
      </c>
      <c r="K76" s="71">
        <f>IF(Table1[[#This Row],[Column8]]=1,20,"")</f>
        <v>20</v>
      </c>
      <c r="L76" s="71">
        <f>IF(Table1[[#This Row],[Column8]]=1,J76*K76,"")</f>
        <v>0</v>
      </c>
      <c r="M76" s="72" t="str">
        <f>VLOOKUP($B76,'Standards Crosswalk'!$A:$H,3,FALSE)</f>
        <v>CSC 10</v>
      </c>
      <c r="N76" s="72">
        <f>VLOOKUP($B76,'Standards Crosswalk'!$A:$H,4,FALSE)</f>
        <v>0</v>
      </c>
      <c r="O76" s="72" t="str">
        <f>VLOOKUP($B76,'Standards Crosswalk'!$A:$H,5,FALSE)</f>
        <v>12.1.2</v>
      </c>
      <c r="P76" s="72" t="str">
        <f>VLOOKUP($B76,'Standards Crosswalk'!$A:$H,6,FALSE)</f>
        <v>PR.IP-3, PR.DS-7</v>
      </c>
      <c r="Q76" s="72" t="str">
        <f>VLOOKUP($B76,'Standards Crosswalk'!$A:$H,7,FALSE)</f>
        <v>3.4.3, 3.4.4, 3.4.5</v>
      </c>
      <c r="R76" s="72" t="str">
        <f>VLOOKUP($B76,'Standards Crosswalk'!$A:$H,8,FALSE)</f>
        <v>CM-3, CM-4, CM-5</v>
      </c>
      <c r="S76" s="72" t="str">
        <f>VLOOKUP($B76,'Standards Crosswalk'!$A:$I,9,FALSE)</f>
        <v>6.4, 6.4.5, 6.4.5.1, 6.4.5.2</v>
      </c>
    </row>
    <row r="77" spans="1:19" ht="409.6" thickBot="1" x14ac:dyDescent="0.2">
      <c r="A77" s="71">
        <f t="shared" si="4"/>
        <v>75</v>
      </c>
      <c r="B77" s="77" t="s">
        <v>240</v>
      </c>
      <c r="C77" s="78" t="str">
        <f>VLOOKUP(B77,'HECVAT - Full'!A:E,2,FALSE)</f>
        <v>Will the Institution be notified of major changes to your environment that could impact the Institution's security posture?</v>
      </c>
      <c r="D77" s="71" t="str">
        <f>VLOOKUP(B77,'HECVAT - Full'!A:E,4,FALSE)</f>
        <v>We are very sensitive to how major changes may affect the Institution and will work closely to ensure they understand the impacts of such changes. Notification may be via phone, text, email.</v>
      </c>
      <c r="E77" s="79" t="b">
        <f>IF(Table1[[#This Row],[Column11]]&gt;20,TRUE,FALSE)</f>
        <v>0</v>
      </c>
      <c r="F77" s="79" t="s">
        <v>2031</v>
      </c>
      <c r="G77" s="80" t="s">
        <v>16</v>
      </c>
      <c r="H77" s="81">
        <v>1</v>
      </c>
      <c r="I77" s="71" t="str">
        <f>VLOOKUP(B77,'HECVAT - Full'!A:E,3,FALSE)</f>
        <v>Yes</v>
      </c>
      <c r="J77" s="71">
        <f>IF(Table1[[#This Row],[Column7]]=Table1[[#This Row],[Column9]],1,0)</f>
        <v>1</v>
      </c>
      <c r="K77" s="71">
        <f>IF(Table1[[#This Row],[Column8]]=1,20,"")</f>
        <v>20</v>
      </c>
      <c r="L77" s="71">
        <f>IF(Table1[[#This Row],[Column8]]=1,J77*K77,"")</f>
        <v>20</v>
      </c>
      <c r="M77" s="72" t="str">
        <f>VLOOKUP($B77,'Standards Crosswalk'!$A:$H,3,FALSE)</f>
        <v>CSC 10</v>
      </c>
      <c r="N77" s="72">
        <f>VLOOKUP($B77,'Standards Crosswalk'!$A:$H,4,FALSE)</f>
        <v>0</v>
      </c>
      <c r="O77" s="72" t="str">
        <f>VLOOKUP($B77,'Standards Crosswalk'!$A:$H,5,FALSE)</f>
        <v>12.1.2</v>
      </c>
      <c r="P77" s="72">
        <f>VLOOKUP($B77,'Standards Crosswalk'!$A:$H,6,FALSE)</f>
        <v>0</v>
      </c>
      <c r="Q77" s="72">
        <f>VLOOKUP($B77,'Standards Crosswalk'!$A:$H,7,FALSE)</f>
        <v>0</v>
      </c>
      <c r="R77" s="72" t="str">
        <f>VLOOKUP($B77,'Standards Crosswalk'!$A:$H,8,FALSE)</f>
        <v>CM-3, CM-4, CM-5</v>
      </c>
      <c r="S77" s="72" t="str">
        <f>VLOOKUP($B77,'Standards Crosswalk'!$A:$I,9,FALSE)</f>
        <v>6.4, 12.8, 12.9</v>
      </c>
    </row>
    <row r="78" spans="1:19" ht="409.6" thickBot="1" x14ac:dyDescent="0.2">
      <c r="A78" s="71">
        <f t="shared" si="4"/>
        <v>76</v>
      </c>
      <c r="B78" s="77" t="s">
        <v>241</v>
      </c>
      <c r="C78" s="78" t="str">
        <f>VLOOKUP(B78,'HECVAT - Full'!A:E,2,FALSE)</f>
        <v>Do clients have the option to not participate in or postpone an upgrade to a new release?</v>
      </c>
      <c r="D78" s="71" t="str">
        <f>VLOOKUP(B78,'HECVAT - Full'!A:E,4,FALSE)</f>
        <v>Pronto is a SaaS product. In addition, Pronto's mobile apps are distributed through channels that allow only one current release (Apple's App Store and Google's Play Store) so it is not possible to pin a particular institution to a particular release.</v>
      </c>
      <c r="E78" s="79" t="b">
        <f>IF(Table1[[#This Row],[Column11]]&gt;20,TRUE,FALSE)</f>
        <v>0</v>
      </c>
      <c r="F78" s="79" t="s">
        <v>2031</v>
      </c>
      <c r="G78" s="80" t="s">
        <v>16</v>
      </c>
      <c r="H78" s="81">
        <v>1</v>
      </c>
      <c r="I78" s="71" t="str">
        <f>VLOOKUP(B78,'HECVAT - Full'!A:E,3,FALSE)</f>
        <v>No</v>
      </c>
      <c r="J78" s="71">
        <f>IF(Table1[[#This Row],[Column7]]=Table1[[#This Row],[Column9]],1,0)</f>
        <v>0</v>
      </c>
      <c r="K78" s="71">
        <f>IF(Table1[[#This Row],[Column8]]=1,20,"")</f>
        <v>20</v>
      </c>
      <c r="L78" s="71">
        <f>IF(Table1[[#This Row],[Column8]]=1,J78*K78,"")</f>
        <v>0</v>
      </c>
      <c r="M78" s="72" t="str">
        <f>VLOOKUP($B78,'Standards Crosswalk'!$A:$H,3,FALSE)</f>
        <v>CSC 10</v>
      </c>
      <c r="N78" s="72">
        <f>VLOOKUP($B78,'Standards Crosswalk'!$A:$H,4,FALSE)</f>
        <v>0</v>
      </c>
      <c r="O78" s="72">
        <f>VLOOKUP($B78,'Standards Crosswalk'!$A:$H,5,FALSE)</f>
        <v>0</v>
      </c>
      <c r="P78" s="72">
        <f>VLOOKUP($B78,'Standards Crosswalk'!$A:$H,6,FALSE)</f>
        <v>0</v>
      </c>
      <c r="Q78" s="72">
        <f>VLOOKUP($B78,'Standards Crosswalk'!$A:$H,7,FALSE)</f>
        <v>0</v>
      </c>
      <c r="R78" s="72" t="str">
        <f>VLOOKUP($B78,'Standards Crosswalk'!$A:$H,8,FALSE)</f>
        <v>CM-3, CM-4, CM-5</v>
      </c>
      <c r="S78" s="72">
        <f>VLOOKUP($B78,'Standards Crosswalk'!$A:$I,9,FALSE)</f>
        <v>12.1</v>
      </c>
    </row>
    <row r="79" spans="1:19" ht="409.6" thickBot="1" x14ac:dyDescent="0.2">
      <c r="A79" s="71">
        <f t="shared" si="4"/>
        <v>77</v>
      </c>
      <c r="B79" s="77" t="s">
        <v>242</v>
      </c>
      <c r="C79" s="78" t="str">
        <f>VLOOKUP(B79,'HECVAT - Full'!A:E,2,FALSE)</f>
        <v>Describe or provide a reference to your solution support strategy in relation to maintaining software currency. (i.e. how many concurrent versions are you willing to run and support?)</v>
      </c>
      <c r="D79" s="71">
        <f>VLOOKUP(B79,'HECVAT - Full'!A:E,4,FALSE)</f>
        <v>0</v>
      </c>
      <c r="E79" s="79" t="b">
        <f>IF(Table1[[#This Row],[Column11]]&gt;20,TRUE,FALSE)</f>
        <v>1</v>
      </c>
      <c r="F79" s="79" t="s">
        <v>2031</v>
      </c>
      <c r="G79" s="80" t="s">
        <v>16</v>
      </c>
      <c r="H79" s="81">
        <v>1</v>
      </c>
      <c r="I79" s="71" t="str">
        <f>VLOOKUP(B79,'HECVAT - Full'!A:E,3,FALSE)</f>
        <v>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v>
      </c>
      <c r="J79" s="71">
        <f>IF(VLOOKUP(Table1[[#This Row],[Column2]],'Analyst Report'!$A$41:$G$88,7,FALSE)="Yes",1,0)</f>
        <v>0</v>
      </c>
      <c r="K79" s="71">
        <f>IF(Table1[[#This Row],[Column8]]=1,25,"")</f>
        <v>25</v>
      </c>
      <c r="L79" s="71">
        <f>IF(Table1[[#This Row],[Column8]]=1,J79*K79,"")</f>
        <v>0</v>
      </c>
      <c r="M79" s="72" t="str">
        <f>VLOOKUP($B79,'Standards Crosswalk'!$A:$H,3,FALSE)</f>
        <v>CSC 2</v>
      </c>
      <c r="N79" s="72">
        <f>VLOOKUP($B79,'Standards Crosswalk'!$A:$H,4,FALSE)</f>
        <v>0</v>
      </c>
      <c r="O79" s="72">
        <f>VLOOKUP($B79,'Standards Crosswalk'!$A:$H,5,FALSE)</f>
        <v>0</v>
      </c>
      <c r="P79" s="72">
        <f>VLOOKUP($B79,'Standards Crosswalk'!$A:$H,6,FALSE)</f>
        <v>0</v>
      </c>
      <c r="Q79" s="72">
        <f>VLOOKUP($B79,'Standards Crosswalk'!$A:$H,7,FALSE)</f>
        <v>0</v>
      </c>
      <c r="R79" s="72" t="str">
        <f>VLOOKUP($B79,'Standards Crosswalk'!$A:$H,8,FALSE)</f>
        <v>CM-3, CM-4, CM-5</v>
      </c>
      <c r="S79" s="72" t="str">
        <f>VLOOKUP($B79,'Standards Crosswalk'!$A:$I,9,FALSE)</f>
        <v>12.1, 12.8</v>
      </c>
    </row>
    <row r="80" spans="1:19" ht="166" thickBot="1" x14ac:dyDescent="0.2">
      <c r="A80" s="71">
        <f t="shared" si="4"/>
        <v>78</v>
      </c>
      <c r="B80" s="77" t="s">
        <v>243</v>
      </c>
      <c r="C80" s="78" t="str">
        <f>VLOOKUP(B80,'HECVAT - Full'!A:E,2,FALSE)</f>
        <v>Identify the most current version of the software. Detail the percentage of live customers that are utilizing the proposed version of the software as well as each version of the software currently in use.</v>
      </c>
      <c r="D80" s="71">
        <f>VLOOKUP(B80,'HECVAT - Full'!A:E,4,FALSE)</f>
        <v>0</v>
      </c>
      <c r="E80" s="79" t="b">
        <f>IF(Table1[[#This Row],[Column11]]&gt;20,TRUE,FALSE)</f>
        <v>0</v>
      </c>
      <c r="F80" s="79" t="s">
        <v>2031</v>
      </c>
      <c r="G80" s="80" t="s">
        <v>16</v>
      </c>
      <c r="H80" s="81">
        <v>1</v>
      </c>
      <c r="I80" s="71" t="str">
        <f>VLOOKUP(B80,'HECVAT - Full'!A:E,3,FALSE)</f>
        <v>All customers are on the latest version</v>
      </c>
      <c r="J80" s="71">
        <f>IF(VLOOKUP(Table1[[#This Row],[Column2]],'Analyst Report'!$A$41:$G$88,7,FALSE)="Yes",1,0)</f>
        <v>0</v>
      </c>
      <c r="K80" s="71">
        <f>IF(Table1[[#This Row],[Column8]]=1,10,"")</f>
        <v>10</v>
      </c>
      <c r="L80" s="71">
        <f>IF(Table1[[#This Row],[Column8]]=1,J80*K80,"")</f>
        <v>0</v>
      </c>
      <c r="M80" s="72" t="str">
        <f>VLOOKUP($B80,'Standards Crosswalk'!$A:$H,3,FALSE)</f>
        <v>CSC 2</v>
      </c>
      <c r="N80" s="72">
        <f>VLOOKUP($B80,'Standards Crosswalk'!$A:$H,4,FALSE)</f>
        <v>0</v>
      </c>
      <c r="O80" s="72">
        <f>VLOOKUP($B80,'Standards Crosswalk'!$A:$H,5,FALSE)</f>
        <v>0</v>
      </c>
      <c r="P80" s="72">
        <f>VLOOKUP($B80,'Standards Crosswalk'!$A:$H,6,FALSE)</f>
        <v>0</v>
      </c>
      <c r="Q80" s="72">
        <f>VLOOKUP($B80,'Standards Crosswalk'!$A:$H,7,FALSE)</f>
        <v>0</v>
      </c>
      <c r="R80" s="72" t="str">
        <f>VLOOKUP($B80,'Standards Crosswalk'!$A:$H,8,FALSE)</f>
        <v>CM-3, CM-4, CM-5</v>
      </c>
      <c r="S80" s="72">
        <f>VLOOKUP($B80,'Standards Crosswalk'!$A:$I,9,FALSE)</f>
        <v>0</v>
      </c>
    </row>
    <row r="81" spans="1:19" ht="409.6" thickBot="1" x14ac:dyDescent="0.2">
      <c r="A81" s="71">
        <f t="shared" si="4"/>
        <v>79</v>
      </c>
      <c r="B81" s="77" t="s">
        <v>244</v>
      </c>
      <c r="C81" s="78" t="str">
        <f>VLOOKUP(B81,'HECVAT - Full'!A:E,2,FALSE)</f>
        <v>Does the system support client customizations from one release to another?</v>
      </c>
      <c r="D81" s="71" t="str">
        <f>VLOOKUP(B81,'HECVAT - Full'!A:E,4,FALSE)</f>
        <v>Specific code-level customizations per-customer are not supported. Pronto does, however, support a large number of application-level customizations that are maintained and migrated between releases.</v>
      </c>
      <c r="E81" s="79" t="b">
        <f>IF(Table1[[#This Row],[Column11]]&gt;20,TRUE,FALSE)</f>
        <v>0</v>
      </c>
      <c r="F81" s="79" t="s">
        <v>2031</v>
      </c>
      <c r="G81" s="80" t="s">
        <v>16</v>
      </c>
      <c r="H81" s="81">
        <v>1</v>
      </c>
      <c r="I81" s="71" t="str">
        <f>VLOOKUP(B81,'HECVAT - Full'!A:E,3,FALSE)</f>
        <v>Yes</v>
      </c>
      <c r="J81" s="71">
        <f>IF(Table1[[#This Row],[Column7]]=Table1[[#This Row],[Column9]],1,0)</f>
        <v>1</v>
      </c>
      <c r="K81" s="71">
        <f>IF(Table1[[#This Row],[Column8]]=1,15,"")</f>
        <v>15</v>
      </c>
      <c r="L81" s="71">
        <f>IF(Table1[[#This Row],[Column8]]=1,J81*K81,"")</f>
        <v>15</v>
      </c>
      <c r="M81" s="72" t="str">
        <f>VLOOKUP($B81,'Standards Crosswalk'!$A:$H,3,FALSE)</f>
        <v>CSC 10</v>
      </c>
      <c r="N81" s="72">
        <f>VLOOKUP($B81,'Standards Crosswalk'!$A:$H,4,FALSE)</f>
        <v>0</v>
      </c>
      <c r="O81" s="72">
        <f>VLOOKUP($B81,'Standards Crosswalk'!$A:$H,5,FALSE)</f>
        <v>0</v>
      </c>
      <c r="P81" s="72">
        <f>VLOOKUP($B81,'Standards Crosswalk'!$A:$H,6,FALSE)</f>
        <v>0</v>
      </c>
      <c r="Q81" s="72">
        <f>VLOOKUP($B81,'Standards Crosswalk'!$A:$H,7,FALSE)</f>
        <v>0</v>
      </c>
      <c r="R81" s="72" t="str">
        <f>VLOOKUP($B81,'Standards Crosswalk'!$A:$H,8,FALSE)</f>
        <v>CM-3, CM-4, CM-5</v>
      </c>
      <c r="S81" s="72">
        <f>VLOOKUP($B81,'Standards Crosswalk'!$A:$I,9,FALSE)</f>
        <v>0</v>
      </c>
    </row>
    <row r="82" spans="1:19" ht="409.6" thickBot="1" x14ac:dyDescent="0.2">
      <c r="A82" s="71">
        <f t="shared" si="4"/>
        <v>80</v>
      </c>
      <c r="B82" s="77" t="s">
        <v>245</v>
      </c>
      <c r="C82" s="78"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71" t="str">
        <f>VLOOKUP(B82,'HECVAT - Full'!A:E,4,FALSE)</f>
        <v>Pronto employs both code-level unit tests and integration tests in a parallel development environment that mirrors production. All code changes must be approved by at least one other authorized member of the team.</v>
      </c>
      <c r="E82" s="79" t="b">
        <f>IF(Table1[[#This Row],[Column11]]&gt;20,TRUE,FALSE)</f>
        <v>1</v>
      </c>
      <c r="F82" s="79" t="s">
        <v>2031</v>
      </c>
      <c r="G82" s="80" t="s">
        <v>16</v>
      </c>
      <c r="H82" s="81">
        <v>1</v>
      </c>
      <c r="I82" s="71" t="str">
        <f>VLOOKUP(B82,'HECVAT - Full'!A:E,3,FALSE)</f>
        <v>Yes</v>
      </c>
      <c r="J82" s="71">
        <f>IF(Table1[[#This Row],[Column7]]=Table1[[#This Row],[Column9]],1,0)</f>
        <v>1</v>
      </c>
      <c r="K82" s="71">
        <f>IF(Table1[[#This Row],[Column8]]=1,25,"")</f>
        <v>25</v>
      </c>
      <c r="L82" s="71">
        <f>IF(Table1[[#This Row],[Column8]]=1,J82*K82,"")</f>
        <v>25</v>
      </c>
      <c r="M82" s="72" t="str">
        <f>VLOOKUP($B82,'Standards Crosswalk'!$A:$H,3,FALSE)</f>
        <v>CSC 2</v>
      </c>
      <c r="N82" s="72">
        <f>VLOOKUP($B82,'Standards Crosswalk'!$A:$H,4,FALSE)</f>
        <v>0</v>
      </c>
      <c r="O82" s="72" t="str">
        <f>VLOOKUP($B82,'Standards Crosswalk'!$A:$H,5,FALSE)</f>
        <v>12.1.1</v>
      </c>
      <c r="P82" s="72" t="str">
        <f>VLOOKUP($B82,'Standards Crosswalk'!$A:$H,6,FALSE)</f>
        <v>PR.DS-6</v>
      </c>
      <c r="Q82" s="72" t="str">
        <f>VLOOKUP($B82,'Standards Crosswalk'!$A:$H,7,FALSE)</f>
        <v>3.4.4</v>
      </c>
      <c r="R82" s="72" t="str">
        <f>VLOOKUP($B82,'Standards Crosswalk'!$A:$H,8,FALSE)</f>
        <v>CM-3, CM-4, CM-5</v>
      </c>
      <c r="S82" s="72">
        <f>VLOOKUP($B82,'Standards Crosswalk'!$A:$I,9,FALSE)</f>
        <v>12.1</v>
      </c>
    </row>
    <row r="83" spans="1:19" ht="166" thickBot="1" x14ac:dyDescent="0.2">
      <c r="A83" s="71">
        <f t="shared" si="4"/>
        <v>81</v>
      </c>
      <c r="B83" s="77" t="s">
        <v>246</v>
      </c>
      <c r="C83" s="78" t="str">
        <f>VLOOKUP(B83,'HECVAT - Full'!A:E,2,FALSE)</f>
        <v>Do you have a release schedule for product updates?</v>
      </c>
      <c r="D83" s="71" t="str">
        <f>VLOOKUP(B83,'HECVAT - Full'!A:E,4,FALSE)</f>
        <v>As a SaaS product, updates are made on an ongoing basis.</v>
      </c>
      <c r="E83" s="79" t="b">
        <f>IF(Table1[[#This Row],[Column11]]&gt;20,TRUE,FALSE)</f>
        <v>0</v>
      </c>
      <c r="F83" s="79" t="s">
        <v>2031</v>
      </c>
      <c r="G83" s="80" t="s">
        <v>16</v>
      </c>
      <c r="H83" s="81">
        <v>1</v>
      </c>
      <c r="I83" s="71" t="str">
        <f>VLOOKUP(B83,'HECVAT - Full'!A:E,3,FALSE)</f>
        <v>No</v>
      </c>
      <c r="J83" s="71">
        <f>IF(Table1[[#This Row],[Column7]]=Table1[[#This Row],[Column9]],1,0)</f>
        <v>0</v>
      </c>
      <c r="K83" s="71">
        <f>IF(Table1[[#This Row],[Column8]]=1,15,"")</f>
        <v>15</v>
      </c>
      <c r="L83" s="71">
        <f>IF(Table1[[#This Row],[Column8]]=1,J83*K83,"")</f>
        <v>0</v>
      </c>
      <c r="M83" s="72" t="str">
        <f>VLOOKUP($B83,'Standards Crosswalk'!$A:$H,3,FALSE)</f>
        <v>CSC 10</v>
      </c>
      <c r="N83" s="72">
        <f>VLOOKUP($B83,'Standards Crosswalk'!$A:$H,4,FALSE)</f>
        <v>0</v>
      </c>
      <c r="O83" s="72">
        <f>VLOOKUP($B83,'Standards Crosswalk'!$A:$H,5,FALSE)</f>
        <v>0</v>
      </c>
      <c r="P83" s="72">
        <f>VLOOKUP($B83,'Standards Crosswalk'!$A:$H,6,FALSE)</f>
        <v>0</v>
      </c>
      <c r="Q83" s="72" t="str">
        <f>VLOOKUP($B83,'Standards Crosswalk'!$A:$H,7,FALSE)</f>
        <v>3.14.4</v>
      </c>
      <c r="R83" s="72" t="str">
        <f>VLOOKUP($B83,'Standards Crosswalk'!$A:$H,8,FALSE)</f>
        <v>CM-3, CM-4, CM-5</v>
      </c>
      <c r="S83" s="72">
        <f>VLOOKUP($B83,'Standards Crosswalk'!$A:$I,9,FALSE)</f>
        <v>0</v>
      </c>
    </row>
    <row r="84" spans="1:19" ht="409.6" thickBot="1" x14ac:dyDescent="0.2">
      <c r="A84" s="71">
        <f t="shared" si="4"/>
        <v>82</v>
      </c>
      <c r="B84" s="77" t="s">
        <v>247</v>
      </c>
      <c r="C84" s="78" t="str">
        <f>VLOOKUP(B84,'HECVAT - Full'!A:E,2,FALSE)</f>
        <v>Do you have a technology roadmap, for the next 2 years, for enhancements and bug fixes for the product/service being assessed?</v>
      </c>
      <c r="D84" s="71" t="str">
        <f>VLOOKUP(B84,'HECVAT - Full'!A:E,4,FALSE)</f>
        <v>Hit Labs plans on shorter time horizons to be more responsive to customer needs, which change rapidly. Please contact us and we are more than happy to discuss our current roadmap.</v>
      </c>
      <c r="E84" s="79" t="b">
        <f>IF(Table1[[#This Row],[Column11]]&gt;20,TRUE,FALSE)</f>
        <v>0</v>
      </c>
      <c r="F84" s="79" t="s">
        <v>2031</v>
      </c>
      <c r="G84" s="80" t="s">
        <v>16</v>
      </c>
      <c r="H84" s="81">
        <v>1</v>
      </c>
      <c r="I84" s="71" t="str">
        <f>VLOOKUP(B84,'HECVAT - Full'!A:E,3,FALSE)</f>
        <v>No</v>
      </c>
      <c r="J84" s="71">
        <f>IF(Table1[[#This Row],[Column7]]=Table1[[#This Row],[Column9]],1,0)</f>
        <v>0</v>
      </c>
      <c r="K84" s="71">
        <f>IF(Table1[[#This Row],[Column8]]=1,15,"")</f>
        <v>15</v>
      </c>
      <c r="L84" s="71">
        <f>IF(Table1[[#This Row],[Column8]]=1,J84*K84,"")</f>
        <v>0</v>
      </c>
      <c r="M84" s="72" t="str">
        <f>VLOOKUP($B84,'Standards Crosswalk'!$A:$H,3,FALSE)</f>
        <v>CSC 2</v>
      </c>
      <c r="N84" s="72">
        <f>VLOOKUP($B84,'Standards Crosswalk'!$A:$H,4,FALSE)</f>
        <v>0</v>
      </c>
      <c r="O84" s="72">
        <f>VLOOKUP($B84,'Standards Crosswalk'!$A:$H,5,FALSE)</f>
        <v>0</v>
      </c>
      <c r="P84" s="72">
        <f>VLOOKUP($B84,'Standards Crosswalk'!$A:$H,6,FALSE)</f>
        <v>0</v>
      </c>
      <c r="Q84" s="72">
        <f>VLOOKUP($B84,'Standards Crosswalk'!$A:$H,7,FALSE)</f>
        <v>0</v>
      </c>
      <c r="R84" s="72" t="str">
        <f>VLOOKUP($B84,'Standards Crosswalk'!$A:$H,8,FALSE)</f>
        <v>CM-3, CM-4, CM-5</v>
      </c>
      <c r="S84" s="72">
        <f>VLOOKUP($B84,'Standards Crosswalk'!$A:$I,9,FALSE)</f>
        <v>0</v>
      </c>
    </row>
    <row r="85" spans="1:19" ht="46" thickBot="1" x14ac:dyDescent="0.2">
      <c r="A85" s="71">
        <f t="shared" si="4"/>
        <v>83</v>
      </c>
      <c r="B85" s="77" t="s">
        <v>248</v>
      </c>
      <c r="C85" s="78" t="str">
        <f>VLOOKUP(B85,'HECVAT - Full'!A:E,2,FALSE)</f>
        <v>Is Institution involvement (i.e. technically or organizationally) required during product updates?</v>
      </c>
      <c r="D85" s="71">
        <f>VLOOKUP(B85,'HECVAT - Full'!A:E,4,FALSE)</f>
        <v>0</v>
      </c>
      <c r="E85" s="79" t="b">
        <f>IF(Table1[[#This Row],[Column11]]&gt;20,TRUE,FALSE)</f>
        <v>0</v>
      </c>
      <c r="F85" s="79" t="s">
        <v>2031</v>
      </c>
      <c r="G85" s="80" t="s">
        <v>16</v>
      </c>
      <c r="H85" s="81">
        <v>1</v>
      </c>
      <c r="I85" s="71" t="str">
        <f>VLOOKUP(B85,'HECVAT - Full'!A:E,3,FALSE)</f>
        <v>No</v>
      </c>
      <c r="J85" s="71">
        <f>IF(Table1[[#This Row],[Column7]]=Table1[[#This Row],[Column9]],1,0)</f>
        <v>0</v>
      </c>
      <c r="K85" s="71">
        <f>IF(Table1[[#This Row],[Column8]]=1,15,"")</f>
        <v>15</v>
      </c>
      <c r="L85" s="71">
        <f>IF(Table1[[#This Row],[Column8]]=1,J85*K85,"")</f>
        <v>0</v>
      </c>
      <c r="M85" s="72">
        <f>VLOOKUP($B85,'Standards Crosswalk'!$A:$H,3,FALSE)</f>
        <v>0</v>
      </c>
      <c r="N85" s="72">
        <f>VLOOKUP($B85,'Standards Crosswalk'!$A:$H,4,FALSE)</f>
        <v>0</v>
      </c>
      <c r="O85" s="72">
        <f>VLOOKUP($B85,'Standards Crosswalk'!$A:$H,5,FALSE)</f>
        <v>0</v>
      </c>
      <c r="P85" s="72">
        <f>VLOOKUP($B85,'Standards Crosswalk'!$A:$H,6,FALSE)</f>
        <v>0</v>
      </c>
      <c r="Q85" s="72">
        <f>VLOOKUP($B85,'Standards Crosswalk'!$A:$H,7,FALSE)</f>
        <v>0</v>
      </c>
      <c r="R85" s="72" t="str">
        <f>VLOOKUP($B85,'Standards Crosswalk'!$A:$H,8,FALSE)</f>
        <v>CM-3, CM-4, CM-5</v>
      </c>
      <c r="S85" s="72">
        <f>VLOOKUP($B85,'Standards Crosswalk'!$A:$I,9,FALSE)</f>
        <v>0</v>
      </c>
    </row>
    <row r="86" spans="1:19" ht="385" thickBot="1" x14ac:dyDescent="0.2">
      <c r="A86" s="71">
        <f t="shared" si="4"/>
        <v>84</v>
      </c>
      <c r="B86" s="77" t="s">
        <v>249</v>
      </c>
      <c r="C86" s="78" t="str">
        <f>VLOOKUP(B86,'HECVAT - Full'!A:E,2,FALSE)</f>
        <v>Do you have policy and procedure, currently implemented, managing how critical patches are applied to all systems and applications?</v>
      </c>
      <c r="D86" s="71" t="str">
        <f>VLOOKUP(B86,'HECVAT - Full'!A:E,4,FALSE)</f>
        <v>The DevOps team regularly assesses the need for patches and applies them on a regular basis. Please see the Information Security Policy for more detail.</v>
      </c>
      <c r="E86" s="79" t="b">
        <f>IF(Table1[[#This Row],[Column11]]&gt;20,TRUE,FALSE)</f>
        <v>0</v>
      </c>
      <c r="F86" s="79" t="s">
        <v>2031</v>
      </c>
      <c r="G86" s="80" t="s">
        <v>16</v>
      </c>
      <c r="H86" s="81">
        <v>1</v>
      </c>
      <c r="I86" s="71" t="str">
        <f>VLOOKUP(B86,'HECVAT - Full'!A:E,3,FALSE)</f>
        <v>Yes</v>
      </c>
      <c r="J86" s="71">
        <f>IF(Table1[[#This Row],[Column7]]=Table1[[#This Row],[Column9]],1,0)</f>
        <v>1</v>
      </c>
      <c r="K86" s="71">
        <f>IF(Table1[[#This Row],[Column8]]=1,20,"")</f>
        <v>20</v>
      </c>
      <c r="L86" s="71">
        <f>IF(Table1[[#This Row],[Column8]]=1,J86*K86,"")</f>
        <v>20</v>
      </c>
      <c r="M86" s="72" t="str">
        <f>VLOOKUP($B86,'Standards Crosswalk'!$A:$H,3,FALSE)</f>
        <v>CSC 2</v>
      </c>
      <c r="N86" s="72">
        <f>VLOOKUP($B86,'Standards Crosswalk'!$A:$H,4,FALSE)</f>
        <v>0</v>
      </c>
      <c r="O86" s="72" t="str">
        <f>VLOOKUP($B86,'Standards Crosswalk'!$A:$H,5,FALSE)</f>
        <v>12.6.1</v>
      </c>
      <c r="P86" s="72">
        <f>VLOOKUP($B86,'Standards Crosswalk'!$A:$H,6,FALSE)</f>
        <v>0</v>
      </c>
      <c r="Q86" s="72">
        <f>VLOOKUP($B86,'Standards Crosswalk'!$A:$H,7,FALSE)</f>
        <v>0</v>
      </c>
      <c r="R86" s="72" t="str">
        <f>VLOOKUP($B86,'Standards Crosswalk'!$A:$H,8,FALSE)</f>
        <v>CM-3, CM-4, CM-5</v>
      </c>
      <c r="S86" s="72" t="str">
        <f>VLOOKUP($B86,'Standards Crosswalk'!$A:$I,9,FALSE)</f>
        <v>12.1, 12.8, 6.2</v>
      </c>
    </row>
    <row r="87" spans="1:19" ht="409.6" thickBot="1" x14ac:dyDescent="0.2">
      <c r="A87" s="71">
        <f t="shared" si="4"/>
        <v>85</v>
      </c>
      <c r="B87" s="77" t="s">
        <v>250</v>
      </c>
      <c r="C87" s="78" t="str">
        <f>VLOOKUP(B87,'HECVAT - Full'!A:E,2,FALSE)</f>
        <v>Do you have policy and procedure, currently implemented, guiding how security risks are mitigated until patches can be applied?</v>
      </c>
      <c r="D87" s="71" t="str">
        <f>VLOOKUP(B87,'HECVAT - Full'!A:E,4,FALSE)</f>
        <v>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v>
      </c>
      <c r="E87" s="79" t="b">
        <f>IF(Table1[[#This Row],[Column11]]&gt;20,TRUE,FALSE)</f>
        <v>0</v>
      </c>
      <c r="F87" s="79" t="s">
        <v>2031</v>
      </c>
      <c r="G87" s="80" t="s">
        <v>16</v>
      </c>
      <c r="H87" s="81">
        <v>1</v>
      </c>
      <c r="I87" s="71" t="str">
        <f>VLOOKUP(B87,'HECVAT - Full'!A:E,3,FALSE)</f>
        <v>Yes</v>
      </c>
      <c r="J87" s="71">
        <f>IF(Table1[[#This Row],[Column7]]=Table1[[#This Row],[Column9]],1,0)</f>
        <v>1</v>
      </c>
      <c r="K87" s="71">
        <f>IF(Table1[[#This Row],[Column8]]=1,20,"")</f>
        <v>20</v>
      </c>
      <c r="L87" s="71">
        <f>IF(Table1[[#This Row],[Column8]]=1,J87*K87,"")</f>
        <v>20</v>
      </c>
      <c r="M87" s="72" t="str">
        <f>VLOOKUP($B87,'Standards Crosswalk'!$A:$H,3,FALSE)</f>
        <v>CSC 13</v>
      </c>
      <c r="N87" s="72" t="str">
        <f>VLOOKUP($B87,'Standards Crosswalk'!$A:$H,4,FALSE)</f>
        <v>§164.308(a)(1)(ii)(B)</v>
      </c>
      <c r="O87" s="72" t="str">
        <f>VLOOKUP($B87,'Standards Crosswalk'!$A:$H,5,FALSE)</f>
        <v>12.6.1</v>
      </c>
      <c r="P87" s="72">
        <f>VLOOKUP($B87,'Standards Crosswalk'!$A:$H,6,FALSE)</f>
        <v>0</v>
      </c>
      <c r="Q87" s="72">
        <f>VLOOKUP($B87,'Standards Crosswalk'!$A:$H,7,FALSE)</f>
        <v>0</v>
      </c>
      <c r="R87" s="72" t="str">
        <f>VLOOKUP($B87,'Standards Crosswalk'!$A:$H,8,FALSE)</f>
        <v>CM-3, CM-4, CM-5</v>
      </c>
      <c r="S87" s="72" t="str">
        <f>VLOOKUP($B87,'Standards Crosswalk'!$A:$I,9,FALSE)</f>
        <v>12.2, 12.8</v>
      </c>
    </row>
    <row r="88" spans="1:19" ht="166" thickBot="1" x14ac:dyDescent="0.2">
      <c r="A88" s="71">
        <f t="shared" si="4"/>
        <v>86</v>
      </c>
      <c r="B88" s="77" t="s">
        <v>251</v>
      </c>
      <c r="C88" s="78" t="str">
        <f>VLOOKUP(B88,'HECVAT - Full'!A:E,2,FALSE)</f>
        <v>Are upgrades or system changes installed during off-peak hours or in a manner that does not impact the customer?</v>
      </c>
      <c r="D88" s="71" t="str">
        <f>VLOOKUP(B88,'HECVAT - Full'!A:E,4,FALSE)</f>
        <v>New releases are typically pushed after 12:00 AM Eastern.</v>
      </c>
      <c r="E88" s="79" t="b">
        <f>IF(Table1[[#This Row],[Column11]]&gt;20,TRUE,FALSE)</f>
        <v>0</v>
      </c>
      <c r="F88" s="79" t="s">
        <v>2031</v>
      </c>
      <c r="G88" s="80" t="s">
        <v>16</v>
      </c>
      <c r="H88" s="81">
        <v>1</v>
      </c>
      <c r="I88" s="71" t="str">
        <f>VLOOKUP(B88,'HECVAT - Full'!A:E,3,FALSE)</f>
        <v>Yes</v>
      </c>
      <c r="J88" s="71">
        <f>IF(Table1[[#This Row],[Column7]]=Table1[[#This Row],[Column9]],1,0)</f>
        <v>1</v>
      </c>
      <c r="K88" s="71">
        <f>IF(Table1[[#This Row],[Column8]]=1,15,"")</f>
        <v>15</v>
      </c>
      <c r="L88" s="71">
        <f>IF(Table1[[#This Row],[Column8]]=1,J88*K88,"")</f>
        <v>15</v>
      </c>
      <c r="M88" s="72" t="str">
        <f>VLOOKUP($B88,'Standards Crosswalk'!$A:$H,3,FALSE)</f>
        <v>CSC 10</v>
      </c>
      <c r="N88" s="72">
        <f>VLOOKUP($B88,'Standards Crosswalk'!$A:$H,4,FALSE)</f>
        <v>0</v>
      </c>
      <c r="O88" s="72">
        <f>VLOOKUP($B88,'Standards Crosswalk'!$A:$H,5,FALSE)</f>
        <v>0</v>
      </c>
      <c r="P88" s="72">
        <f>VLOOKUP($B88,'Standards Crosswalk'!$A:$H,6,FALSE)</f>
        <v>0</v>
      </c>
      <c r="Q88" s="72">
        <f>VLOOKUP($B88,'Standards Crosswalk'!$A:$H,7,FALSE)</f>
        <v>0</v>
      </c>
      <c r="R88" s="72" t="str">
        <f>VLOOKUP($B88,'Standards Crosswalk'!$A:$H,8,FALSE)</f>
        <v>CM-3, CM-4, CM-5</v>
      </c>
      <c r="S88" s="72" t="str">
        <f>VLOOKUP($B88,'Standards Crosswalk'!$A:$I,9,FALSE)</f>
        <v>12.1, 12.2, 12.8</v>
      </c>
    </row>
    <row r="89" spans="1:19" ht="409.6" thickBot="1" x14ac:dyDescent="0.2">
      <c r="A89" s="71">
        <f t="shared" si="4"/>
        <v>87</v>
      </c>
      <c r="B89" s="77" t="s">
        <v>252</v>
      </c>
      <c r="C89" s="78" t="str">
        <f>VLOOKUP(B89,'HECVAT - Full'!A:E,2,FALSE)</f>
        <v>Do procedures exist to provide that emergency changes are documented and authorized (including after the fact approval)?</v>
      </c>
      <c r="D89" s="71" t="str">
        <f>VLOOKUP(B89,'HECVAT - Full'!A:E,4,FALSE)</f>
        <v>Emergency changes are always documented via version control and/or in the ticketing system. Deployment approvals must be collected within 2 business days of deployment.</v>
      </c>
      <c r="E89" s="79" t="b">
        <f>IF(Table1[[#This Row],[Column11]]&gt;20,TRUE,FALSE)</f>
        <v>0</v>
      </c>
      <c r="F89" s="79" t="s">
        <v>2031</v>
      </c>
      <c r="G89" s="80" t="s">
        <v>16</v>
      </c>
      <c r="H89" s="81">
        <v>1</v>
      </c>
      <c r="I89" s="71" t="str">
        <f>VLOOKUP(B89,'HECVAT - Full'!A:E,3,FALSE)</f>
        <v>Yes</v>
      </c>
      <c r="J89" s="71">
        <f>IF(Table1[[#This Row],[Column7]]=Table1[[#This Row],[Column9]],1,0)</f>
        <v>1</v>
      </c>
      <c r="K89" s="71">
        <f>IF(Table1[[#This Row],[Column8]]=1,15,"")</f>
        <v>15</v>
      </c>
      <c r="L89" s="71">
        <f>IF(Table1[[#This Row],[Column8]]=1,J89*K89,"")</f>
        <v>15</v>
      </c>
      <c r="M89" s="72" t="str">
        <f>VLOOKUP($B89,'Standards Crosswalk'!$A:$H,3,FALSE)</f>
        <v>CSC 10</v>
      </c>
      <c r="N89" s="72">
        <f>VLOOKUP($B89,'Standards Crosswalk'!$A:$H,4,FALSE)</f>
        <v>0</v>
      </c>
      <c r="O89" s="72" t="str">
        <f>VLOOKUP($B89,'Standards Crosswalk'!$A:$H,5,FALSE)</f>
        <v>12.1.2</v>
      </c>
      <c r="P89" s="72" t="str">
        <f>VLOOKUP($B89,'Standards Crosswalk'!$A:$H,6,FALSE)</f>
        <v>PR.IP-3</v>
      </c>
      <c r="Q89" s="72">
        <f>VLOOKUP($B89,'Standards Crosswalk'!$A:$H,7,FALSE)</f>
        <v>0</v>
      </c>
      <c r="R89" s="72" t="str">
        <f>VLOOKUP($B89,'Standards Crosswalk'!$A:$H,8,FALSE)</f>
        <v>CM-3, CM-4, CM-5</v>
      </c>
      <c r="S89" s="72" t="str">
        <f>VLOOKUP($B89,'Standards Crosswalk'!$A:$I,9,FALSE)</f>
        <v>12.10, 12.8, 6.4</v>
      </c>
    </row>
    <row r="90" spans="1:19" ht="409.6" thickBot="1" x14ac:dyDescent="0.2">
      <c r="A90" s="71">
        <f t="shared" si="4"/>
        <v>88</v>
      </c>
      <c r="B90" s="77" t="s">
        <v>253</v>
      </c>
      <c r="C90" s="78" t="str">
        <f>VLOOKUP(B90,'HECVAT - Full'!A:E,2,FALSE)</f>
        <v>Do you physically and logically separate Institution's data from that of other customers?</v>
      </c>
      <c r="D90" s="71" t="str">
        <f>VLOOKUP(B90,'HECVAT - Full'!A:E,4,FALSE)</f>
        <v>The Pronto platform uses a multi-tenant model, where mutliple customers' data is stored in the same database and application logic and foreign keys are used to logically separate one customer's data from the others.</v>
      </c>
      <c r="E90" s="79" t="b">
        <f>IF(Table1[[#This Row],[Column11]]&gt;20,TRUE,FALSE)</f>
        <v>1</v>
      </c>
      <c r="F90" s="79" t="s">
        <v>2032</v>
      </c>
      <c r="G90" s="98" t="s">
        <v>16</v>
      </c>
      <c r="H90" s="81">
        <v>1</v>
      </c>
      <c r="I90" s="71" t="str">
        <f>VLOOKUP(B90,'HECVAT - Full'!A:E,3,FALSE)</f>
        <v>Yes</v>
      </c>
      <c r="J90" s="71">
        <f>IF(Table1[[#This Row],[Column7]]=Table1[[#This Row],[Column9]],1,0)</f>
        <v>1</v>
      </c>
      <c r="K90" s="71">
        <f>IF(Table1[[#This Row],[Column8]]=1,25,"")</f>
        <v>25</v>
      </c>
      <c r="L90" s="71">
        <f>IF(Table1[[#This Row],[Column8]]=1,J90*K90,"")</f>
        <v>25</v>
      </c>
      <c r="M90" s="72" t="str">
        <f>VLOOKUP($B90,'Standards Crosswalk'!$A:$H,3,FALSE)</f>
        <v>CSC 12</v>
      </c>
      <c r="N90" s="72">
        <f>VLOOKUP($B90,'Standards Crosswalk'!$A:$H,4,FALSE)</f>
        <v>0</v>
      </c>
      <c r="O90" s="72">
        <f>VLOOKUP($B90,'Standards Crosswalk'!$A:$H,5,FALSE)</f>
        <v>0</v>
      </c>
      <c r="P90" s="72" t="str">
        <f>VLOOKUP($B90,'Standards Crosswalk'!$A:$H,6,FALSE)</f>
        <v>PR.AC-2, PR.IP-5</v>
      </c>
      <c r="Q90" s="72" t="str">
        <f>VLOOKUP($B90,'Standards Crosswalk'!$A:$H,7,FALSE)</f>
        <v>3.1.3, 3.8.1</v>
      </c>
      <c r="R90" s="72" t="str">
        <f>VLOOKUP($B90,'Standards Crosswalk'!$A:$H,8,FALSE)</f>
        <v>AC-4, MP-2, MP-4</v>
      </c>
      <c r="S90" s="72">
        <f>VLOOKUP($B90,'Standards Crosswalk'!$A:$I,9,FALSE)</f>
        <v>12.8</v>
      </c>
    </row>
    <row r="91" spans="1:19" ht="409.6" thickBot="1" x14ac:dyDescent="0.2">
      <c r="A91" s="71">
        <f t="shared" si="4"/>
        <v>89</v>
      </c>
      <c r="B91" s="77" t="s">
        <v>254</v>
      </c>
      <c r="C91" s="78" t="str">
        <f>VLOOKUP(B91,'HECVAT - Full'!A:E,2,FALSE)</f>
        <v>Will Institution's data be stored on any devices (database servers, file servers, SAN, NAS, …) configured with non-RFC 1918/4193 (i.e. publicly routable) IP addresses?</v>
      </c>
      <c r="D91" s="71" t="str">
        <f>VLOOKUP(B91,'HECVAT - Full'!A:E,4,FALSE)</f>
        <v>Technically, the database instances do possess a public IP address. However, AWS security groups completely restrict traffic to that IP address so that it is not accessible via the public internet. All day-to-day access is via the private network interface through a VPN. We are working toward moving all databases into a private subnet that eliminates the public IP address requirement completely.</v>
      </c>
      <c r="E91" s="79" t="b">
        <f>IF(Table1[[#This Row],[Column11]]&gt;20,TRUE,FALSE)</f>
        <v>0</v>
      </c>
      <c r="F91" s="79" t="s">
        <v>2032</v>
      </c>
      <c r="G91" s="98" t="s">
        <v>16</v>
      </c>
      <c r="H91" s="81">
        <v>1</v>
      </c>
      <c r="I91" s="71" t="str">
        <f>VLOOKUP(B91,'HECVAT - Full'!A:E,3,FALSE)</f>
        <v>Yes</v>
      </c>
      <c r="J91" s="71">
        <f>IF(Table1[[#This Row],[Column7]]=Table1[[#This Row],[Column9]],1,0)</f>
        <v>1</v>
      </c>
      <c r="K91" s="71">
        <f>IF(Table1[[#This Row],[Column8]]=1,15,"")</f>
        <v>15</v>
      </c>
      <c r="L91" s="71">
        <f>IF(Table1[[#This Row],[Column8]]=1,J91*K91,"")</f>
        <v>15</v>
      </c>
      <c r="M91" s="72" t="str">
        <f>VLOOKUP($B91,'Standards Crosswalk'!$A:$H,3,FALSE)</f>
        <v>CSC 12</v>
      </c>
      <c r="N91" s="72">
        <f>VLOOKUP($B91,'Standards Crosswalk'!$A:$H,4,FALSE)</f>
        <v>0</v>
      </c>
      <c r="O91" s="72">
        <f>VLOOKUP($B91,'Standards Crosswalk'!$A:$H,5,FALSE)</f>
        <v>0</v>
      </c>
      <c r="P91" s="72" t="str">
        <f>VLOOKUP($B91,'Standards Crosswalk'!$A:$H,6,FALSE)</f>
        <v>PR.AC-2, PR.IP-5</v>
      </c>
      <c r="Q91" s="72" t="str">
        <f>VLOOKUP($B91,'Standards Crosswalk'!$A:$H,7,FALSE)</f>
        <v>3.1.22</v>
      </c>
      <c r="R91" s="72" t="str">
        <f>VLOOKUP($B91,'Standards Crosswalk'!$A:$H,8,FALSE)</f>
        <v>AC-22</v>
      </c>
      <c r="S91" s="72" t="str">
        <f>VLOOKUP($B91,'Standards Crosswalk'!$A:$I,9,FALSE)</f>
        <v>12.8, 9.x</v>
      </c>
    </row>
    <row r="92" spans="1:19" ht="256" thickBot="1" x14ac:dyDescent="0.2">
      <c r="A92" s="71">
        <f t="shared" si="4"/>
        <v>90</v>
      </c>
      <c r="B92" s="77" t="s">
        <v>255</v>
      </c>
      <c r="C92" s="78" t="str">
        <f>VLOOKUP(B92,'HECVAT - Full'!A:E,2,FALSE)</f>
        <v>Is sensitive data encrypted in transport? (e.g. system-to-client)</v>
      </c>
      <c r="D92" s="71" t="str">
        <f>VLOOKUP(B92,'HECVAT - Full'!A:E,4,FALSE)</f>
        <v>All data transport is encrypted via TLS using the current industry standard protocols and ciphers.</v>
      </c>
      <c r="E92" s="79" t="b">
        <f>IF(Table1[[#This Row],[Column11]]&gt;20,TRUE,FALSE)</f>
        <v>1</v>
      </c>
      <c r="F92" s="79" t="s">
        <v>2032</v>
      </c>
      <c r="G92" s="98" t="s">
        <v>16</v>
      </c>
      <c r="H92" s="81">
        <v>1</v>
      </c>
      <c r="I92" s="71" t="str">
        <f>VLOOKUP(B92,'HECVAT - Full'!A:E,3,FALSE)</f>
        <v>Yes</v>
      </c>
      <c r="J92" s="71">
        <f>IF(Table1[[#This Row],[Column7]]=Table1[[#This Row],[Column9]],1,0)</f>
        <v>1</v>
      </c>
      <c r="K92" s="71">
        <f>IF(Table1[[#This Row],[Column8]]=1,25,"")</f>
        <v>25</v>
      </c>
      <c r="L92" s="71">
        <f>IF(Table1[[#This Row],[Column8]]=1,J92*K92,"")</f>
        <v>25</v>
      </c>
      <c r="M92" s="72" t="str">
        <f>VLOOKUP($B92,'Standards Crosswalk'!$A:$H,3,FALSE)</f>
        <v>CSC 13</v>
      </c>
      <c r="N92" s="72">
        <f>VLOOKUP($B92,'Standards Crosswalk'!$A:$H,4,FALSE)</f>
        <v>0</v>
      </c>
      <c r="O92" s="72" t="str">
        <f>VLOOKUP($B92,'Standards Crosswalk'!$A:$H,5,FALSE)</f>
        <v>10.1.1</v>
      </c>
      <c r="P92" s="72" t="str">
        <f>VLOOKUP($B92,'Standards Crosswalk'!$A:$H,6,FALSE)</f>
        <v>PR.DS-2</v>
      </c>
      <c r="Q92" s="72">
        <f>VLOOKUP($B92,'Standards Crosswalk'!$A:$H,7,FALSE)</f>
        <v>0</v>
      </c>
      <c r="R92" s="72">
        <f>VLOOKUP($B92,'Standards Crosswalk'!$A:$H,8,FALSE)</f>
        <v>0</v>
      </c>
      <c r="S92" s="72" t="str">
        <f>VLOOKUP($B92,'Standards Crosswalk'!$A:$I,9,FALSE)</f>
        <v>12.8, 4.1</v>
      </c>
    </row>
    <row r="93" spans="1:19" ht="136" thickBot="1" x14ac:dyDescent="0.2">
      <c r="A93" s="71">
        <f t="shared" si="4"/>
        <v>91</v>
      </c>
      <c r="B93" s="77" t="s">
        <v>256</v>
      </c>
      <c r="C93" s="78" t="str">
        <f>VLOOKUP(B93,'HECVAT - Full'!A:E,2,FALSE)</f>
        <v>Is sensitive data encrypted in storage (e.g. disk encryption, at-rest)?</v>
      </c>
      <c r="D93" s="71" t="str">
        <f>VLOOKUP(B93,'HECVAT - Full'!A:E,4,FALSE)</f>
        <v>All data is stored encrypted at-rest using AES-256.</v>
      </c>
      <c r="E93" s="79" t="b">
        <f>IF(Table1[[#This Row],[Column11]]&gt;20,TRUE,FALSE)</f>
        <v>1</v>
      </c>
      <c r="F93" s="79" t="s">
        <v>2032</v>
      </c>
      <c r="G93" s="98" t="s">
        <v>16</v>
      </c>
      <c r="H93" s="81">
        <v>1</v>
      </c>
      <c r="I93" s="71" t="str">
        <f>VLOOKUP(B93,'HECVAT - Full'!A:E,3,FALSE)</f>
        <v>Yes</v>
      </c>
      <c r="J93" s="71">
        <f>IF(Table1[[#This Row],[Column7]]=Table1[[#This Row],[Column9]],1,0)</f>
        <v>1</v>
      </c>
      <c r="K93" s="71">
        <f>IF(Table1[[#This Row],[Column8]]=1,40,"")</f>
        <v>40</v>
      </c>
      <c r="L93" s="71">
        <f>IF(Table1[[#This Row],[Column8]]=1,J93*K93,"")</f>
        <v>40</v>
      </c>
      <c r="M93" s="72" t="str">
        <f>VLOOKUP($B93,'Standards Crosswalk'!$A:$H,3,FALSE)</f>
        <v>CSC 13</v>
      </c>
      <c r="N93" s="72">
        <f>VLOOKUP($B93,'Standards Crosswalk'!$A:$H,4,FALSE)</f>
        <v>0</v>
      </c>
      <c r="O93" s="72" t="str">
        <f>VLOOKUP($B93,'Standards Crosswalk'!$A:$H,5,FALSE)</f>
        <v>8.2.3, 10.1.1</v>
      </c>
      <c r="P93" s="72" t="str">
        <f>VLOOKUP($B93,'Standards Crosswalk'!$A:$H,6,FALSE)</f>
        <v>PR.DS-1</v>
      </c>
      <c r="Q93" s="72" t="str">
        <f>VLOOKUP($B93,'Standards Crosswalk'!$A:$H,7,FALSE)</f>
        <v>3.1.19, 3.8.1</v>
      </c>
      <c r="R93" s="72" t="str">
        <f>VLOOKUP($B93,'Standards Crosswalk'!$A:$H,8,FALSE)</f>
        <v>MP-2, AC-19(5)</v>
      </c>
      <c r="S93" s="72">
        <f>VLOOKUP($B93,'Standards Crosswalk'!$A:$I,9,FALSE)</f>
        <v>12.8</v>
      </c>
    </row>
    <row r="94" spans="1:19" ht="76" thickBot="1" x14ac:dyDescent="0.2">
      <c r="A94" s="71">
        <f t="shared" si="4"/>
        <v>92</v>
      </c>
      <c r="B94" s="77" t="s">
        <v>257</v>
      </c>
      <c r="C94" s="78" t="str">
        <f>VLOOKUP(B94,'HECVAT - Full'!A:E,2,FALSE)</f>
        <v>Do you employ or allow any cryptographic modules that do not conform to the Federal Information Processing Standards (FIPS PUB 140-2)?</v>
      </c>
      <c r="D94" s="71">
        <f>VLOOKUP(B94,'HECVAT - Full'!A:E,4,FALSE)</f>
        <v>0</v>
      </c>
      <c r="E94" s="79" t="b">
        <f>IF(Table1[[#This Row],[Column11]]&gt;20,TRUE,FALSE)</f>
        <v>1</v>
      </c>
      <c r="F94" s="79" t="s">
        <v>2032</v>
      </c>
      <c r="G94" s="98" t="s">
        <v>19</v>
      </c>
      <c r="H94" s="81">
        <v>1</v>
      </c>
      <c r="I94" s="71" t="str">
        <f>VLOOKUP(B94,'HECVAT - Full'!A:E,3,FALSE)</f>
        <v>No</v>
      </c>
      <c r="J94" s="71">
        <f>IF(Table1[[#This Row],[Column7]]=Table1[[#This Row],[Column9]],1,0)</f>
        <v>1</v>
      </c>
      <c r="K94" s="71">
        <f>IF(Table1[[#This Row],[Column8]]=1,25,"")</f>
        <v>25</v>
      </c>
      <c r="L94" s="71">
        <f>IF(Table1[[#This Row],[Column8]]=1,J94*K94,"")</f>
        <v>25</v>
      </c>
      <c r="M94" s="72" t="str">
        <f>VLOOKUP($B94,'Standards Crosswalk'!$A:$H,3,FALSE)</f>
        <v>CSC 13</v>
      </c>
      <c r="N94" s="72">
        <f>VLOOKUP($B94,'Standards Crosswalk'!$A:$H,4,FALSE)</f>
        <v>0</v>
      </c>
      <c r="O94" s="72" t="str">
        <f>VLOOKUP($B94,'Standards Crosswalk'!$A:$H,5,FALSE)</f>
        <v>8.2.3, 10.1.1</v>
      </c>
      <c r="P94" s="72">
        <f>VLOOKUP($B94,'Standards Crosswalk'!$A:$H,6,FALSE)</f>
        <v>0</v>
      </c>
      <c r="Q94" s="72" t="str">
        <f>VLOOKUP($B94,'Standards Crosswalk'!$A:$H,7,FALSE)</f>
        <v>3.8.6, 3.13.11</v>
      </c>
      <c r="R94" s="72">
        <f>VLOOKUP($B94,'Standards Crosswalk'!$A:$H,8,FALSE)</f>
        <v>0</v>
      </c>
      <c r="S94" s="72">
        <f>VLOOKUP($B94,'Standards Crosswalk'!$A:$I,9,FALSE)</f>
        <v>12.1</v>
      </c>
    </row>
    <row r="95" spans="1:19" ht="409.6" thickBot="1" x14ac:dyDescent="0.2">
      <c r="A95" s="71">
        <f t="shared" si="4"/>
        <v>93</v>
      </c>
      <c r="B95" s="77" t="s">
        <v>258</v>
      </c>
      <c r="C95" s="78" t="str">
        <f>VLOOKUP(B95,'HECVAT - Full'!A:E,2,FALSE)</f>
        <v>Does your system employ encryption technologies when transmitting sensitive information over TCP/IP networks (e.g., SSH, SSL/TLS, VPN)? (e.g. system-to-system and system-to-client)</v>
      </c>
      <c r="D95" s="71" t="str">
        <f>VLOOKUP(B95,'HECVAT - Full'!A:E,4,FALSE)</f>
        <v>Data is always encrypted outside of the AWS VPC. Inside the VPC unencrypted connections are used for some system-to-system communication but we are working towards eliminating all of those.</v>
      </c>
      <c r="E95" s="79" t="b">
        <f>IF(Table1[[#This Row],[Column11]]&gt;20,TRUE,FALSE)</f>
        <v>1</v>
      </c>
      <c r="F95" s="79" t="s">
        <v>2032</v>
      </c>
      <c r="G95" s="98" t="s">
        <v>16</v>
      </c>
      <c r="H95" s="81">
        <v>1</v>
      </c>
      <c r="I95" s="71" t="str">
        <f>VLOOKUP(B95,'HECVAT - Full'!A:E,3,FALSE)</f>
        <v>Yes</v>
      </c>
      <c r="J95" s="71">
        <f>IF(Table1[[#This Row],[Column7]]=Table1[[#This Row],[Column9]],1,0)</f>
        <v>1</v>
      </c>
      <c r="K95" s="71">
        <f>IF(Table1[[#This Row],[Column8]]=1,25,"")</f>
        <v>25</v>
      </c>
      <c r="L95" s="71">
        <f>IF(Table1[[#This Row],[Column8]]=1,J95*K95,"")</f>
        <v>25</v>
      </c>
      <c r="M95" s="72" t="str">
        <f>VLOOKUP($B95,'Standards Crosswalk'!$A:$H,3,FALSE)</f>
        <v>CSC 13</v>
      </c>
      <c r="N95" s="72">
        <f>VLOOKUP($B95,'Standards Crosswalk'!$A:$H,4,FALSE)</f>
        <v>0</v>
      </c>
      <c r="O95" s="72" t="str">
        <f>VLOOKUP($B95,'Standards Crosswalk'!$A:$H,5,FALSE)</f>
        <v>13.2</v>
      </c>
      <c r="P95" s="72" t="str">
        <f>VLOOKUP($B95,'Standards Crosswalk'!$A:$H,6,FALSE)</f>
        <v>PR.DS-2</v>
      </c>
      <c r="Q95" s="72">
        <f>VLOOKUP($B95,'Standards Crosswalk'!$A:$H,7,FALSE)</f>
        <v>0</v>
      </c>
      <c r="R95" s="72" t="str">
        <f>VLOOKUP($B95,'Standards Crosswalk'!$A:$H,8,FALSE)</f>
        <v>PE-2, PE-3, PE-5, MP-5</v>
      </c>
      <c r="S95" s="72" t="str">
        <f>VLOOKUP($B95,'Standards Crosswalk'!$A:$I,9,FALSE)</f>
        <v>12.8, 4.1</v>
      </c>
    </row>
    <row r="96" spans="1:19" ht="409.6" thickBot="1" x14ac:dyDescent="0.2">
      <c r="A96" s="71">
        <f t="shared" si="4"/>
        <v>94</v>
      </c>
      <c r="B96" s="77" t="s">
        <v>259</v>
      </c>
      <c r="C96" s="78" t="str">
        <f>VLOOKUP(B96,'HECVAT - Full'!A:E,2,FALSE)</f>
        <v>List all locations (i.e. city + datacenter name) where the institution's data will be stored?</v>
      </c>
      <c r="D96" s="71">
        <f>VLOOKUP(B96,'HECVAT - Full'!A:E,4,FALSE)</f>
        <v>0</v>
      </c>
      <c r="E96" s="79" t="b">
        <f>IF(Table1[[#This Row],[Column11]]&gt;20,TRUE,FALSE)</f>
        <v>0</v>
      </c>
      <c r="F96" s="79" t="s">
        <v>2032</v>
      </c>
      <c r="G96" s="98"/>
      <c r="H96" s="81">
        <v>1</v>
      </c>
      <c r="I96" s="71" t="str">
        <f>VLOOKUP(B96,'HECVAT - Full'!A:E,3,FALSE)</f>
        <v>Virgina (us-east-1 region)  Amazon Web Services (Primary Data Store)
Oregon (us-west-2 region) - Amazon Web Services (Backup Data Store).</v>
      </c>
      <c r="J96" s="71">
        <f>IF(VLOOKUP(Table1[[#This Row],[Column2]],'Analyst Report'!$A$41:$G$88,7,FALSE)="Yes",1,0)</f>
        <v>0</v>
      </c>
      <c r="K96" s="71">
        <f>IF(Table1[[#This Row],[Column8]]=1,20,"")</f>
        <v>20</v>
      </c>
      <c r="L96" s="71">
        <f>IF(Table1[[#This Row],[Column8]]=1,J96*K96,"")</f>
        <v>0</v>
      </c>
      <c r="M96" s="72" t="str">
        <f>VLOOKUP($B96,'Standards Crosswalk'!$A:$H,3,FALSE)</f>
        <v>CSC 1</v>
      </c>
      <c r="N96" s="72">
        <f>VLOOKUP($B96,'Standards Crosswalk'!$A:$H,4,FALSE)</f>
        <v>0</v>
      </c>
      <c r="O96" s="72">
        <f>VLOOKUP($B96,'Standards Crosswalk'!$A:$H,5,FALSE)</f>
        <v>0</v>
      </c>
      <c r="P96" s="72">
        <f>VLOOKUP($B96,'Standards Crosswalk'!$A:$H,6,FALSE)</f>
        <v>0</v>
      </c>
      <c r="Q96" s="72" t="str">
        <f>VLOOKUP($B96,'Standards Crosswalk'!$A:$H,7,FALSE)</f>
        <v>3.8.1</v>
      </c>
      <c r="R96" s="72" t="str">
        <f>VLOOKUP($B96,'Standards Crosswalk'!$A:$H,8,FALSE)</f>
        <v>MP-2</v>
      </c>
      <c r="S96" s="72" t="str">
        <f>VLOOKUP($B96,'Standards Crosswalk'!$A:$I,9,FALSE)</f>
        <v>12.8, 9.x</v>
      </c>
    </row>
    <row r="97" spans="1:19" ht="31" thickBot="1" x14ac:dyDescent="0.2">
      <c r="A97" s="71">
        <f t="shared" si="4"/>
        <v>95</v>
      </c>
      <c r="B97" s="77" t="s">
        <v>260</v>
      </c>
      <c r="C97" s="78" t="str">
        <f>VLOOKUP(B97,'HECVAT - Full'!A:E,2,FALSE)</f>
        <v>At the completion of this contract, will data be returned to the institution?</v>
      </c>
      <c r="D97" s="71">
        <f>VLOOKUP(B97,'HECVAT - Full'!A:E,4,FALSE)</f>
        <v>0</v>
      </c>
      <c r="E97" s="79" t="b">
        <f>IF(Table1[[#This Row],[Column11]]&gt;20,TRUE,FALSE)</f>
        <v>1</v>
      </c>
      <c r="F97" s="79" t="s">
        <v>2032</v>
      </c>
      <c r="G97" s="98" t="s">
        <v>16</v>
      </c>
      <c r="H97" s="81">
        <v>1</v>
      </c>
      <c r="I97" s="71" t="str">
        <f>VLOOKUP(B97,'HECVAT - Full'!A:E,3,FALSE)</f>
        <v>No</v>
      </c>
      <c r="J97" s="71">
        <f>IF(Table1[[#This Row],[Column7]]=Table1[[#This Row],[Column9]],1,0)</f>
        <v>0</v>
      </c>
      <c r="K97" s="71">
        <f>IF(Table1[[#This Row],[Column8]]=1,25,"")</f>
        <v>25</v>
      </c>
      <c r="L97" s="71">
        <f>IF(Table1[[#This Row],[Column8]]=1,J97*K97,"")</f>
        <v>0</v>
      </c>
      <c r="M97" s="72" t="str">
        <f>VLOOKUP($B97,'Standards Crosswalk'!$A:$H,3,FALSE)</f>
        <v>CSC 13</v>
      </c>
      <c r="N97" s="72">
        <f>VLOOKUP($B97,'Standards Crosswalk'!$A:$H,4,FALSE)</f>
        <v>0</v>
      </c>
      <c r="O97" s="72" t="str">
        <f>VLOOKUP($B97,'Standards Crosswalk'!$A:$H,5,FALSE)</f>
        <v>8.1.4</v>
      </c>
      <c r="P97" s="72">
        <f>VLOOKUP($B97,'Standards Crosswalk'!$A:$H,6,FALSE)</f>
        <v>0</v>
      </c>
      <c r="Q97" s="72" t="str">
        <f>VLOOKUP($B97,'Standards Crosswalk'!$A:$H,7,FALSE)</f>
        <v>3.8.1</v>
      </c>
      <c r="R97" s="72" t="str">
        <f>VLOOKUP($B97,'Standards Crosswalk'!$A:$H,8,FALSE)</f>
        <v>MP-2</v>
      </c>
      <c r="S97" s="72">
        <f>VLOOKUP($B97,'Standards Crosswalk'!$A:$I,9,FALSE)</f>
        <v>12.8</v>
      </c>
    </row>
    <row r="98" spans="1:19" ht="121" thickBot="1" x14ac:dyDescent="0.2">
      <c r="A98" s="71">
        <f t="shared" si="4"/>
        <v>96</v>
      </c>
      <c r="B98" s="77" t="s">
        <v>261</v>
      </c>
      <c r="C98" s="78" t="str">
        <f>VLOOKUP(B98,'HECVAT - Full'!A:E,2,FALSE)</f>
        <v>Will the institution's data be available within the system for a period of time at the completion of this contract?</v>
      </c>
      <c r="D98" s="71" t="str">
        <f>VLOOKUP(B98,'HECVAT - Full'!A:E,4,FALSE)</f>
        <v>Data will be maintained in backups for 60 days</v>
      </c>
      <c r="E98" s="79" t="b">
        <f>IF(Table1[[#This Row],[Column11]]&gt;20,TRUE,FALSE)</f>
        <v>0</v>
      </c>
      <c r="F98" s="79" t="s">
        <v>2032</v>
      </c>
      <c r="G98" s="98" t="s">
        <v>16</v>
      </c>
      <c r="H98" s="81">
        <v>1</v>
      </c>
      <c r="I98" s="71" t="str">
        <f>VLOOKUP(B98,'HECVAT - Full'!A:E,3,FALSE)</f>
        <v>Yes</v>
      </c>
      <c r="J98" s="71">
        <f>IF(Table1[[#This Row],[Column7]]=Table1[[#This Row],[Column9]],1,0)</f>
        <v>1</v>
      </c>
      <c r="K98" s="71">
        <f>IF(Table1[[#This Row],[Column8]]=1,20,"")</f>
        <v>20</v>
      </c>
      <c r="L98" s="71">
        <f>IF(Table1[[#This Row],[Column8]]=1,J98*K98,"")</f>
        <v>20</v>
      </c>
      <c r="M98" s="72" t="str">
        <f>VLOOKUP($B98,'Standards Crosswalk'!$A:$H,3,FALSE)</f>
        <v>CSC 13</v>
      </c>
      <c r="N98" s="72">
        <f>VLOOKUP($B98,'Standards Crosswalk'!$A:$H,4,FALSE)</f>
        <v>0</v>
      </c>
      <c r="O98" s="72" t="str">
        <f>VLOOKUP($B98,'Standards Crosswalk'!$A:$H,5,FALSE)</f>
        <v>8.1.4</v>
      </c>
      <c r="P98" s="72">
        <f>VLOOKUP($B98,'Standards Crosswalk'!$A:$H,6,FALSE)</f>
        <v>0</v>
      </c>
      <c r="Q98" s="72">
        <f>VLOOKUP($B98,'Standards Crosswalk'!$A:$H,7,FALSE)</f>
        <v>0</v>
      </c>
      <c r="R98" s="72">
        <f>VLOOKUP($B98,'Standards Crosswalk'!$A:$H,8,FALSE)</f>
        <v>0</v>
      </c>
      <c r="S98" s="72">
        <f>VLOOKUP($B98,'Standards Crosswalk'!$A:$I,9,FALSE)</f>
        <v>12.8</v>
      </c>
    </row>
    <row r="99" spans="1:19" ht="31" thickBot="1" x14ac:dyDescent="0.2">
      <c r="A99" s="71">
        <f t="shared" si="4"/>
        <v>97</v>
      </c>
      <c r="B99" s="77" t="s">
        <v>262</v>
      </c>
      <c r="C99" s="78" t="str">
        <f>VLOOKUP(B99,'HECVAT - Full'!A:E,2,FALSE)</f>
        <v>Can the institution extract a full backup of data?</v>
      </c>
      <c r="D99" s="71">
        <f>VLOOKUP(B99,'HECVAT - Full'!A:E,4,FALSE)</f>
        <v>0</v>
      </c>
      <c r="E99" s="79" t="b">
        <f>IF(Table1[[#This Row],[Column11]]&gt;20,TRUE,FALSE)</f>
        <v>0</v>
      </c>
      <c r="F99" s="79" t="s">
        <v>2032</v>
      </c>
      <c r="G99" s="98" t="s">
        <v>16</v>
      </c>
      <c r="H99" s="81">
        <v>1</v>
      </c>
      <c r="I99" s="71" t="str">
        <f>VLOOKUP(B99,'HECVAT - Full'!A:E,3,FALSE)</f>
        <v>No</v>
      </c>
      <c r="J99" s="71">
        <f>IF(Table1[[#This Row],[Column7]]=Table1[[#This Row],[Column9]],1,0)</f>
        <v>0</v>
      </c>
      <c r="K99" s="71">
        <f>IF(Table1[[#This Row],[Column8]]=1,15,"")</f>
        <v>15</v>
      </c>
      <c r="L99" s="71">
        <f>IF(Table1[[#This Row],[Column8]]=1,J99*K99,"")</f>
        <v>0</v>
      </c>
      <c r="M99" s="72">
        <f>VLOOKUP($B99,'Standards Crosswalk'!$A:$H,3,FALSE)</f>
        <v>0</v>
      </c>
      <c r="N99" s="72">
        <f>VLOOKUP($B99,'Standards Crosswalk'!$A:$H,4,FALSE)</f>
        <v>0</v>
      </c>
      <c r="O99" s="72" t="str">
        <f>VLOOKUP($B99,'Standards Crosswalk'!$A:$H,5,FALSE)</f>
        <v>12.3.1</v>
      </c>
      <c r="P99" s="72">
        <f>VLOOKUP($B99,'Standards Crosswalk'!$A:$H,6,FALSE)</f>
        <v>0</v>
      </c>
      <c r="Q99" s="72">
        <f>VLOOKUP($B99,'Standards Crosswalk'!$A:$H,7,FALSE)</f>
        <v>0</v>
      </c>
      <c r="R99" s="72">
        <f>VLOOKUP($B99,'Standards Crosswalk'!$A:$H,8,FALSE)</f>
        <v>0</v>
      </c>
      <c r="S99" s="72">
        <f>VLOOKUP($B99,'Standards Crosswalk'!$A:$I,9,FALSE)</f>
        <v>12.8</v>
      </c>
    </row>
    <row r="100" spans="1:19" ht="196" thickBot="1" x14ac:dyDescent="0.2">
      <c r="A100" s="71">
        <f t="shared" si="4"/>
        <v>98</v>
      </c>
      <c r="B100" s="77" t="s">
        <v>263</v>
      </c>
      <c r="C100" s="78" t="str">
        <f>VLOOKUP(B100,'HECVAT - Full'!A:E,2,FALSE)</f>
        <v>Are ownership rights to all data, inputs, outputs, and metadata retained by the institution?</v>
      </c>
      <c r="D100" s="71" t="str">
        <f>VLOOKUP(B100,'HECVAT - Full'!A:E,4,FALSE)</f>
        <v>Covered in Customer Terms of Service at https://pronto.io/customer-terms/</v>
      </c>
      <c r="E100" s="79" t="b">
        <f>IF(Table1[[#This Row],[Column11]]&gt;20,TRUE,FALSE)</f>
        <v>1</v>
      </c>
      <c r="F100" s="79" t="s">
        <v>2032</v>
      </c>
      <c r="G100" s="98" t="s">
        <v>16</v>
      </c>
      <c r="H100" s="81">
        <v>1</v>
      </c>
      <c r="I100" s="71" t="str">
        <f>VLOOKUP(B100,'HECVAT - Full'!A:E,3,FALSE)</f>
        <v>Yes</v>
      </c>
      <c r="J100" s="71">
        <f>IF(Table1[[#This Row],[Column7]]=Table1[[#This Row],[Column9]],1,0)</f>
        <v>1</v>
      </c>
      <c r="K100" s="71">
        <f>IF(Table1[[#This Row],[Column8]]=1,25,"")</f>
        <v>25</v>
      </c>
      <c r="L100" s="71">
        <f>IF(Table1[[#This Row],[Column8]]=1,J100*K100,"")</f>
        <v>25</v>
      </c>
      <c r="M100" s="72" t="str">
        <f>VLOOKUP($B100,'Standards Crosswalk'!$A:$H,3,FALSE)</f>
        <v>CSC 13</v>
      </c>
      <c r="N100" s="72">
        <f>VLOOKUP($B100,'Standards Crosswalk'!$A:$H,4,FALSE)</f>
        <v>0</v>
      </c>
      <c r="O100" s="72" t="str">
        <f>VLOOKUP($B100,'Standards Crosswalk'!$A:$H,5,FALSE)</f>
        <v>8.1.2</v>
      </c>
      <c r="P100" s="72">
        <f>VLOOKUP($B100,'Standards Crosswalk'!$A:$H,6,FALSE)</f>
        <v>0</v>
      </c>
      <c r="Q100" s="72" t="str">
        <f>VLOOKUP($B100,'Standards Crosswalk'!$A:$H,7,FALSE)</f>
        <v>3.8.1</v>
      </c>
      <c r="R100" s="72">
        <f>VLOOKUP($B100,'Standards Crosswalk'!$A:$H,8,FALSE)</f>
        <v>0</v>
      </c>
      <c r="S100" s="72">
        <f>VLOOKUP($B100,'Standards Crosswalk'!$A:$I,9,FALSE)</f>
        <v>12.8</v>
      </c>
    </row>
    <row r="101" spans="1:19" ht="46" thickBot="1" x14ac:dyDescent="0.2">
      <c r="A101" s="71">
        <f t="shared" si="4"/>
        <v>99</v>
      </c>
      <c r="B101" s="95" t="s">
        <v>264</v>
      </c>
      <c r="C101" s="78" t="str">
        <f>VLOOKUP(B101,'HECVAT - Full'!A:E,2,FALSE)</f>
        <v>Are these rights retained even through a provider acquisition or bankruptcy event?</v>
      </c>
      <c r="D101" s="71">
        <f>VLOOKUP(B101,'HECVAT - Full'!A:E,4,FALSE)</f>
        <v>0</v>
      </c>
      <c r="E101" s="79" t="b">
        <f>IF(Table1[[#This Row],[Column11]]&gt;20,TRUE,FALSE)</f>
        <v>0</v>
      </c>
      <c r="F101" s="79" t="s">
        <v>2032</v>
      </c>
      <c r="G101" s="98" t="s">
        <v>16</v>
      </c>
      <c r="H101" s="81">
        <f>IF(I100="Yes",1,0)</f>
        <v>1</v>
      </c>
      <c r="I101" s="71" t="str">
        <f>VLOOKUP(B101,'HECVAT - Full'!A:E,3,FALSE)</f>
        <v>Yes</v>
      </c>
      <c r="J101" s="71">
        <f>IF(Table1[[#This Row],[Column7]]=Table1[[#This Row],[Column9]],1,0)</f>
        <v>1</v>
      </c>
      <c r="K101" s="71">
        <f>15*Table1[[#This Row],[Column8]]</f>
        <v>15</v>
      </c>
      <c r="L101" s="71">
        <f>IF(Table1[[#This Row],[Column8]]=1,J101*K101,"")</f>
        <v>15</v>
      </c>
      <c r="M101" s="72" t="str">
        <f>VLOOKUP($B101,'Standards Crosswalk'!$A:$H,3,FALSE)</f>
        <v>CSC 13</v>
      </c>
      <c r="N101" s="72">
        <f>VLOOKUP($B101,'Standards Crosswalk'!$A:$H,4,FALSE)</f>
        <v>0</v>
      </c>
      <c r="O101" s="72" t="str">
        <f>VLOOKUP($B101,'Standards Crosswalk'!$A:$H,5,FALSE)</f>
        <v>8.1.2</v>
      </c>
      <c r="P101" s="72">
        <f>VLOOKUP($B101,'Standards Crosswalk'!$A:$H,6,FALSE)</f>
        <v>0</v>
      </c>
      <c r="Q101" s="72" t="str">
        <f>VLOOKUP($B101,'Standards Crosswalk'!$A:$H,7,FALSE)</f>
        <v>3.8.2</v>
      </c>
      <c r="R101" s="72">
        <f>VLOOKUP($B101,'Standards Crosswalk'!$A:$H,8,FALSE)</f>
        <v>0</v>
      </c>
      <c r="S101" s="72">
        <f>VLOOKUP($B101,'Standards Crosswalk'!$A:$I,9,FALSE)</f>
        <v>12.8</v>
      </c>
    </row>
    <row r="102" spans="1:19" ht="76" thickBot="1" x14ac:dyDescent="0.2">
      <c r="A102" s="71">
        <f t="shared" si="4"/>
        <v>100</v>
      </c>
      <c r="B102" s="77" t="s">
        <v>265</v>
      </c>
      <c r="C102" s="78" t="str">
        <f>VLOOKUP(B102,'HECVAT - Full'!A:E,2,FALSE)</f>
        <v>In the event of imminent bankruptcy, closing of business, or retirement of service, will you provide 90 days for customers to get their data out of the system and migrate applications?</v>
      </c>
      <c r="D102" s="71">
        <f>VLOOKUP(B102,'HECVAT - Full'!A:E,4,FALSE)</f>
        <v>0</v>
      </c>
      <c r="E102" s="79" t="b">
        <f>IF(Table1[[#This Row],[Column11]]&gt;20,TRUE,FALSE)</f>
        <v>0</v>
      </c>
      <c r="F102" s="79" t="s">
        <v>2032</v>
      </c>
      <c r="G102" s="98" t="s">
        <v>16</v>
      </c>
      <c r="H102" s="81">
        <v>1</v>
      </c>
      <c r="I102" s="71" t="str">
        <f>VLOOKUP(B102,'HECVAT - Full'!A:E,3,FALSE)</f>
        <v>Yes</v>
      </c>
      <c r="J102" s="71">
        <f>IF(Table1[[#This Row],[Column7]]=Table1[[#This Row],[Column9]],1,0)</f>
        <v>1</v>
      </c>
      <c r="K102" s="71">
        <f>IF(Table1[[#This Row],[Column8]]=1,15,"")</f>
        <v>15</v>
      </c>
      <c r="L102" s="71">
        <f>IF(Table1[[#This Row],[Column8]]=1,J102*K102,"")</f>
        <v>15</v>
      </c>
      <c r="M102" s="72" t="str">
        <f>VLOOKUP($B102,'Standards Crosswalk'!$A:$H,3,FALSE)</f>
        <v>CAC 13</v>
      </c>
      <c r="N102" s="72">
        <f>VLOOKUP($B102,'Standards Crosswalk'!$A:$H,4,FALSE)</f>
        <v>0</v>
      </c>
      <c r="O102" s="72" t="str">
        <f>VLOOKUP($B102,'Standards Crosswalk'!$A:$H,5,FALSE)</f>
        <v>8.1.2</v>
      </c>
      <c r="P102" s="72">
        <f>VLOOKUP($B102,'Standards Crosswalk'!$A:$H,6,FALSE)</f>
        <v>0</v>
      </c>
      <c r="Q102" s="72" t="str">
        <f>VLOOKUP($B102,'Standards Crosswalk'!$A:$H,7,FALSE)</f>
        <v>3.8.1</v>
      </c>
      <c r="R102" s="72">
        <f>VLOOKUP($B102,'Standards Crosswalk'!$A:$H,8,FALSE)</f>
        <v>0</v>
      </c>
      <c r="S102" s="72">
        <f>VLOOKUP($B102,'Standards Crosswalk'!$A:$I,9,FALSE)</f>
        <v>12.8</v>
      </c>
    </row>
    <row r="103" spans="1:19" ht="409.6" thickBot="1" x14ac:dyDescent="0.2">
      <c r="A103" s="71">
        <f t="shared" si="4"/>
        <v>101</v>
      </c>
      <c r="B103" s="77" t="s">
        <v>266</v>
      </c>
      <c r="C103" s="78" t="str">
        <f>VLOOKUP(B103,'HECVAT - Full'!A:E,2,FALSE)</f>
        <v xml:space="preserve">Describe or provide a reference to the backup processes for the servers on which the service and/or data resides. </v>
      </c>
      <c r="D103" s="71">
        <f>VLOOKUP(B103,'HECVAT - Full'!A:E,4,FALSE)</f>
        <v>0</v>
      </c>
      <c r="E103" s="79" t="b">
        <f>IF(Table1[[#This Row],[Column11]]&gt;20,TRUE,FALSE)</f>
        <v>0</v>
      </c>
      <c r="F103" s="79" t="s">
        <v>2032</v>
      </c>
      <c r="G103" s="98"/>
      <c r="H103" s="81">
        <v>1</v>
      </c>
      <c r="I103" s="71" t="str">
        <f>VLOOKUP(B103,'HECVAT - Full'!A:E,3,FALSE)</f>
        <v>Our distributed database is highly fault tolerant, maintaining at least 2 replicas of each piece of data on different hardware nodes, allowing for multiple simultaneous hardware failures. In addition, data is backed up every 2 hours to separate persistent encrypted storage (S3) across multiple regions allowing for minimal-loss recovery in the event of an unlikely catastrophic failure of our entire primary database cluster.
S3 is used for blob storage (photos, videos, files) and provides industry-leading durability and fault-tolerance.</v>
      </c>
      <c r="J103" s="71">
        <f>IF(VLOOKUP(Table1[[#This Row],[Column2]],'Analyst Report'!$A$41:$G$88,7,FALSE)="Yes",1,0)</f>
        <v>0</v>
      </c>
      <c r="K103" s="71">
        <f>IF(Table1[[#This Row],[Column8]]=1,20,"")</f>
        <v>20</v>
      </c>
      <c r="L103" s="71">
        <f>IF(Table1[[#This Row],[Column8]]=1,J103*K103,"")</f>
        <v>0</v>
      </c>
      <c r="M103" s="72" t="str">
        <f>VLOOKUP($B103,'Standards Crosswalk'!$A:$H,3,FALSE)</f>
        <v>CSC 10</v>
      </c>
      <c r="N103" s="72">
        <f>VLOOKUP($B103,'Standards Crosswalk'!$A:$H,4,FALSE)</f>
        <v>0</v>
      </c>
      <c r="O103" s="72" t="str">
        <f>VLOOKUP($B103,'Standards Crosswalk'!$A:$H,5,FALSE)</f>
        <v>12.3.1</v>
      </c>
      <c r="P103" s="72" t="str">
        <f>VLOOKUP($B103,'Standards Crosswalk'!$A:$H,6,FALSE)</f>
        <v>PR.IP-4</v>
      </c>
      <c r="Q103" s="72" t="str">
        <f>VLOOKUP($B103,'Standards Crosswalk'!$A:$H,7,FALSE)</f>
        <v>3.8.9</v>
      </c>
      <c r="R103" s="72" t="str">
        <f>VLOOKUP($B103,'Standards Crosswalk'!$A:$H,8,FALSE)</f>
        <v>CP-9</v>
      </c>
      <c r="S103" s="72" t="str">
        <f>VLOOKUP($B103,'Standards Crosswalk'!$A:$I,9,FALSE)</f>
        <v>9.x</v>
      </c>
    </row>
    <row r="104" spans="1:19" ht="271" thickBot="1" x14ac:dyDescent="0.2">
      <c r="A104" s="71">
        <f t="shared" si="4"/>
        <v>102</v>
      </c>
      <c r="B104" s="77" t="s">
        <v>267</v>
      </c>
      <c r="C104" s="78" t="str">
        <f>VLOOKUP(B104,'HECVAT - Full'!A:E,2,FALSE)</f>
        <v>Are backup copies made according to pre-defined schedules and securely stored and protected?</v>
      </c>
      <c r="D104" s="71" t="str">
        <f>VLOOKUP(B104,'HECVAT - Full'!A:E,4,FALSE)</f>
        <v>Data is backed up every 2 hours to separate persistent encrypted storage (S3) across multiple regions</v>
      </c>
      <c r="E104" s="79" t="b">
        <f>IF(Table1[[#This Row],[Column11]]&gt;20,TRUE,FALSE)</f>
        <v>0</v>
      </c>
      <c r="F104" s="79" t="s">
        <v>2032</v>
      </c>
      <c r="G104" s="98" t="s">
        <v>16</v>
      </c>
      <c r="H104" s="81">
        <v>1</v>
      </c>
      <c r="I104" s="71" t="str">
        <f>VLOOKUP(B104,'HECVAT - Full'!A:E,3,FALSE)</f>
        <v>Yes</v>
      </c>
      <c r="J104" s="71">
        <f>IF(Table1[[#This Row],[Column7]]=Table1[[#This Row],[Column9]],1,0)</f>
        <v>1</v>
      </c>
      <c r="K104" s="71">
        <f>IF(Table1[[#This Row],[Column8]]=1,20,"")</f>
        <v>20</v>
      </c>
      <c r="L104" s="71">
        <f>IF(Table1[[#This Row],[Column8]]=1,J104*K104,"")</f>
        <v>20</v>
      </c>
      <c r="M104" s="72" t="str">
        <f>VLOOKUP($B104,'Standards Crosswalk'!$A:$H,3,FALSE)</f>
        <v>CSC 10</v>
      </c>
      <c r="N104" s="72">
        <f>VLOOKUP($B104,'Standards Crosswalk'!$A:$H,4,FALSE)</f>
        <v>0</v>
      </c>
      <c r="O104" s="72" t="str">
        <f>VLOOKUP($B104,'Standards Crosswalk'!$A:$H,5,FALSE)</f>
        <v>12.3.1</v>
      </c>
      <c r="P104" s="72" t="str">
        <f>VLOOKUP($B104,'Standards Crosswalk'!$A:$H,6,FALSE)</f>
        <v>PR.IP-4</v>
      </c>
      <c r="Q104" s="72" t="str">
        <f>VLOOKUP($B104,'Standards Crosswalk'!$A:$H,7,FALSE)</f>
        <v>3.8.9</v>
      </c>
      <c r="R104" s="72" t="str">
        <f>VLOOKUP($B104,'Standards Crosswalk'!$A:$H,8,FALSE)</f>
        <v>CP-9</v>
      </c>
      <c r="S104" s="72">
        <f>VLOOKUP($B104,'Standards Crosswalk'!$A:$I,9,FALSE)</f>
        <v>12.8</v>
      </c>
    </row>
    <row r="105" spans="1:19" ht="46" thickBot="1" x14ac:dyDescent="0.2">
      <c r="A105" s="71">
        <f t="shared" si="4"/>
        <v>103</v>
      </c>
      <c r="B105" s="77" t="s">
        <v>268</v>
      </c>
      <c r="C105" s="78" t="str">
        <f>VLOOKUP(B105,'HECVAT - Full'!A:E,2,FALSE)</f>
        <v>How long are data backups stored?</v>
      </c>
      <c r="D105" s="71">
        <f>VLOOKUP(B105,'HECVAT - Full'!A:E,4,FALSE)</f>
        <v>0</v>
      </c>
      <c r="E105" s="79" t="b">
        <f>IF(Table1[[#This Row],[Column11]]&gt;20,TRUE,FALSE)</f>
        <v>0</v>
      </c>
      <c r="F105" s="79" t="s">
        <v>2032</v>
      </c>
      <c r="G105" s="98"/>
      <c r="H105" s="81">
        <v>1</v>
      </c>
      <c r="I105" s="71" t="str">
        <f>VLOOKUP(B105,'HECVAT - Full'!A:E,3,FALSE)</f>
        <v>60 days</v>
      </c>
      <c r="J105" s="71">
        <f>IF(VLOOKUP(Table1[[#This Row],[Column2]],'Analyst Report'!$A$41:$G$88,7,FALSE)="Yes",1,0)</f>
        <v>0</v>
      </c>
      <c r="K105" s="71">
        <f>IF(Table1[[#This Row],[Column8]]=1,20,"")</f>
        <v>20</v>
      </c>
      <c r="L105" s="71">
        <f>IF(Table1[[#This Row],[Column8]]=1,J105*K105,"")</f>
        <v>0</v>
      </c>
      <c r="M105" s="72" t="str">
        <f>VLOOKUP($B105,'Standards Crosswalk'!$A:$H,3,FALSE)</f>
        <v>CSC 10</v>
      </c>
      <c r="N105" s="72">
        <f>VLOOKUP($B105,'Standards Crosswalk'!$A:$H,4,FALSE)</f>
        <v>0</v>
      </c>
      <c r="O105" s="72" t="str">
        <f>VLOOKUP($B105,'Standards Crosswalk'!$A:$H,5,FALSE)</f>
        <v>12.3.1</v>
      </c>
      <c r="P105" s="72" t="str">
        <f>VLOOKUP($B105,'Standards Crosswalk'!$A:$H,6,FALSE)</f>
        <v>PR.IP-4</v>
      </c>
      <c r="Q105" s="72" t="str">
        <f>VLOOKUP($B105,'Standards Crosswalk'!$A:$H,7,FALSE)</f>
        <v>3.8.9</v>
      </c>
      <c r="R105" s="72" t="str">
        <f>VLOOKUP($B105,'Standards Crosswalk'!$A:$H,8,FALSE)</f>
        <v>CP-9</v>
      </c>
      <c r="S105" s="72">
        <f>VLOOKUP($B105,'Standards Crosswalk'!$A:$I,9,FALSE)</f>
        <v>0</v>
      </c>
    </row>
    <row r="106" spans="1:19" ht="181" thickBot="1" x14ac:dyDescent="0.2">
      <c r="A106" s="71">
        <f t="shared" si="4"/>
        <v>104</v>
      </c>
      <c r="B106" s="77" t="s">
        <v>269</v>
      </c>
      <c r="C106" s="78" t="str">
        <f>VLOOKUP(B106,'HECVAT - Full'!A:E,2,FALSE)</f>
        <v>Are data backups encrypted?</v>
      </c>
      <c r="D106" s="71" t="str">
        <f>VLOOKUP(B106,'HECVAT - Full'!A:E,4,FALSE)</f>
        <v>Backups are stored in AWS S3 using AES-256 encrypted buckets.</v>
      </c>
      <c r="E106" s="79" t="b">
        <f>IF(Table1[[#This Row],[Column11]]&gt;20,TRUE,FALSE)</f>
        <v>1</v>
      </c>
      <c r="F106" s="79" t="s">
        <v>2032</v>
      </c>
      <c r="G106" s="98" t="s">
        <v>16</v>
      </c>
      <c r="H106" s="81">
        <v>1</v>
      </c>
      <c r="I106" s="71" t="str">
        <f>VLOOKUP(B106,'HECVAT - Full'!A:E,3,FALSE)</f>
        <v>Yes</v>
      </c>
      <c r="J106" s="71">
        <f>IF(Table1[[#This Row],[Column7]]=Table1[[#This Row],[Column9]],1,0)</f>
        <v>1</v>
      </c>
      <c r="K106" s="71">
        <f>IF(Table1[[#This Row],[Column8]]=1,25,"")</f>
        <v>25</v>
      </c>
      <c r="L106" s="71">
        <f>IF(Table1[[#This Row],[Column8]]=1,J106*K106,"")</f>
        <v>25</v>
      </c>
      <c r="M106" s="72" t="str">
        <f>VLOOKUP($B106,'Standards Crosswalk'!$A:$H,3,FALSE)</f>
        <v>CSC 10</v>
      </c>
      <c r="N106" s="72">
        <f>VLOOKUP($B106,'Standards Crosswalk'!$A:$H,4,FALSE)</f>
        <v>0</v>
      </c>
      <c r="O106" s="72" t="str">
        <f>VLOOKUP($B106,'Standards Crosswalk'!$A:$H,5,FALSE)</f>
        <v>12.3.1</v>
      </c>
      <c r="P106" s="72" t="str">
        <f>VLOOKUP($B106,'Standards Crosswalk'!$A:$H,6,FALSE)</f>
        <v>PR.DS-1, PR.IP-4</v>
      </c>
      <c r="Q106" s="72" t="str">
        <f>VLOOKUP($B106,'Standards Crosswalk'!$A:$H,7,FALSE)</f>
        <v>3.8.9</v>
      </c>
      <c r="R106" s="72" t="str">
        <f>VLOOKUP($B106,'Standards Crosswalk'!$A:$H,8,FALSE)</f>
        <v>CP-9</v>
      </c>
      <c r="S106" s="72">
        <f>VLOOKUP($B106,'Standards Crosswalk'!$A:$I,9,FALSE)</f>
        <v>0</v>
      </c>
    </row>
    <row r="107" spans="1:19" ht="121" thickBot="1" x14ac:dyDescent="0.2">
      <c r="A107" s="71">
        <f t="shared" si="4"/>
        <v>105</v>
      </c>
      <c r="B107" s="95" t="s">
        <v>270</v>
      </c>
      <c r="C107" s="78" t="str">
        <f>VLOOKUP(B107,'HECVAT - Full'!A:E,2,FALSE)</f>
        <v>Do you have a cryptographic key management process (generation, exchange, storage, safeguards, use, vetting, and replacement), that is documented and currently implemented, for all system components? (e.g. database, system, web, etc.)</v>
      </c>
      <c r="D107" s="71" t="str">
        <f>VLOOKUP(B107,'HECVAT - Full'!A:E,4,FALSE)</f>
        <v>We have not yet formalized this policy</v>
      </c>
      <c r="E107" s="79" t="b">
        <f>IF(Table1[[#This Row],[Column11]]&gt;20,TRUE,FALSE)</f>
        <v>0</v>
      </c>
      <c r="F107" s="79" t="s">
        <v>2032</v>
      </c>
      <c r="G107" s="98" t="s">
        <v>16</v>
      </c>
      <c r="H107" s="81">
        <v>1</v>
      </c>
      <c r="I107" s="71" t="str">
        <f>VLOOKUP(B107,'HECVAT - Full'!A:E,3,FALSE)</f>
        <v>No</v>
      </c>
      <c r="J107" s="71">
        <f>IF(Table1[[#This Row],[Column7]]=Table1[[#This Row],[Column9]],1,0)</f>
        <v>0</v>
      </c>
      <c r="K107" s="71">
        <f>IF(Table1[[#This Row],[Column8]]=1,15,"")</f>
        <v>15</v>
      </c>
      <c r="L107" s="71">
        <f>IF(Table1[[#This Row],[Column8]]=1,J107*K107,"")</f>
        <v>0</v>
      </c>
      <c r="M107" s="72" t="str">
        <f>VLOOKUP($B107,'Standards Crosswalk'!$A:$H,3,FALSE)</f>
        <v>CSC 10</v>
      </c>
      <c r="N107" s="72">
        <f>VLOOKUP($B107,'Standards Crosswalk'!$A:$H,4,FALSE)</f>
        <v>0</v>
      </c>
      <c r="O107" s="72" t="str">
        <f>VLOOKUP($B107,'Standards Crosswalk'!$A:$H,5,FALSE)</f>
        <v>10.1.2</v>
      </c>
      <c r="P107" s="72">
        <f>VLOOKUP($B107,'Standards Crosswalk'!$A:$H,6,FALSE)</f>
        <v>0</v>
      </c>
      <c r="Q107" s="72" t="str">
        <f>VLOOKUP($B107,'Standards Crosswalk'!$A:$H,7,FALSE)</f>
        <v>3.13.10</v>
      </c>
      <c r="R107" s="72" t="str">
        <f>VLOOKUP($B107,'Standards Crosswalk'!$A:$H,8,FALSE)</f>
        <v>SC-28, SC-13, FIPS PUB 140-2</v>
      </c>
      <c r="S107" s="72">
        <f>VLOOKUP($B107,'Standards Crosswalk'!$A:$I,9,FALSE)</f>
        <v>0</v>
      </c>
    </row>
    <row r="108" spans="1:19" ht="106" thickBot="1" x14ac:dyDescent="0.2">
      <c r="A108" s="71">
        <f t="shared" si="4"/>
        <v>106</v>
      </c>
      <c r="B108" s="77" t="s">
        <v>272</v>
      </c>
      <c r="C108" s="78" t="str">
        <f>VLOOKUP(B108,'HECVAT - Full'!A:E,2,FALSE)</f>
        <v>Are you performing off site backups? (i.e. digitally moved off site)</v>
      </c>
      <c r="D108" s="71" t="str">
        <f>VLOOKUP(B108,'HECVAT - Full'!A:E,4,FALSE)</f>
        <v>Backups are replicated to a separate AWS region</v>
      </c>
      <c r="E108" s="79" t="b">
        <f>IF(Table1[[#This Row],[Column11]]&gt;20,TRUE,FALSE)</f>
        <v>0</v>
      </c>
      <c r="F108" s="79" t="s">
        <v>2032</v>
      </c>
      <c r="G108" s="98" t="s">
        <v>16</v>
      </c>
      <c r="H108" s="81">
        <v>1</v>
      </c>
      <c r="I108" s="71" t="str">
        <f>VLOOKUP(B108,'HECVAT - Full'!A:E,3,FALSE)</f>
        <v>Yes</v>
      </c>
      <c r="J108" s="71">
        <f>IF(Table1[[#This Row],[Column7]]=Table1[[#This Row],[Column9]],1,0)</f>
        <v>1</v>
      </c>
      <c r="K108" s="71">
        <f>IF(Table1[[#This Row],[Column8]]=1,10,"")</f>
        <v>10</v>
      </c>
      <c r="L108" s="71">
        <f>IF(Table1[[#This Row],[Column8]]=1,J108*K108,"")</f>
        <v>10</v>
      </c>
      <c r="M108" s="72" t="str">
        <f>VLOOKUP($B108,'Standards Crosswalk'!$A:$H,3,FALSE)</f>
        <v>CSC 10</v>
      </c>
      <c r="N108" s="72">
        <f>VLOOKUP($B108,'Standards Crosswalk'!$A:$H,4,FALSE)</f>
        <v>0</v>
      </c>
      <c r="O108" s="72" t="str">
        <f>VLOOKUP($B108,'Standards Crosswalk'!$A:$H,5,FALSE)</f>
        <v>12.3.1</v>
      </c>
      <c r="P108" s="72" t="str">
        <f>VLOOKUP($B108,'Standards Crosswalk'!$A:$H,6,FALSE)</f>
        <v>PR.IP-4</v>
      </c>
      <c r="Q108" s="72" t="str">
        <f>VLOOKUP($B108,'Standards Crosswalk'!$A:$H,7,FALSE)</f>
        <v>3.8.1, 3.8.9</v>
      </c>
      <c r="R108" s="72" t="str">
        <f>VLOOKUP($B108,'Standards Crosswalk'!$A:$H,8,FALSE)</f>
        <v>CP-9</v>
      </c>
      <c r="S108" s="72" t="str">
        <f>VLOOKUP($B108,'Standards Crosswalk'!$A:$I,9,FALSE)</f>
        <v>9.x</v>
      </c>
    </row>
    <row r="109" spans="1:19" ht="315" thickBot="1" x14ac:dyDescent="0.2">
      <c r="A109" s="71">
        <f t="shared" si="4"/>
        <v>107</v>
      </c>
      <c r="B109" s="77" t="s">
        <v>273</v>
      </c>
      <c r="C109" s="78" t="str">
        <f>VLOOKUP(B109,'HECVAT - Full'!A:E,2,FALSE)</f>
        <v>Are physical backups taken off site? (i.e. physically moved off site)</v>
      </c>
      <c r="D109" s="71" t="str">
        <f>VLOOKUP(B109,'HECVAT - Full'!A:E,4,FALSE)</f>
        <v xml:space="preserve">We have no plans to take physical backups offsite as we feel our redundacy and backup architecture is sufficient. </v>
      </c>
      <c r="E109" s="79" t="b">
        <f>IF(Table1[[#This Row],[Column11]]&gt;20,TRUE,FALSE)</f>
        <v>0</v>
      </c>
      <c r="F109" s="79" t="s">
        <v>2032</v>
      </c>
      <c r="G109" s="98" t="s">
        <v>16</v>
      </c>
      <c r="H109" s="81">
        <v>1</v>
      </c>
      <c r="I109" s="71" t="str">
        <f>VLOOKUP(B109,'HECVAT - Full'!A:E,3,FALSE)</f>
        <v>No</v>
      </c>
      <c r="J109" s="71">
        <f>IF(Table1[[#This Row],[Column7]]=Table1[[#This Row],[Column9]],1,0)</f>
        <v>0</v>
      </c>
      <c r="K109" s="71">
        <f>IF(Table1[[#This Row],[Column8]]=1,20,"")</f>
        <v>20</v>
      </c>
      <c r="L109" s="71">
        <f>IF(Table1[[#This Row],[Column8]]=1,J109*K109,"")</f>
        <v>0</v>
      </c>
      <c r="M109" s="72" t="str">
        <f>VLOOKUP($B109,'Standards Crosswalk'!$A:$H,3,FALSE)</f>
        <v>CSC 10</v>
      </c>
      <c r="N109" s="72">
        <f>VLOOKUP($B109,'Standards Crosswalk'!$A:$H,4,FALSE)</f>
        <v>0</v>
      </c>
      <c r="O109" s="72" t="str">
        <f>VLOOKUP($B109,'Standards Crosswalk'!$A:$H,5,FALSE)</f>
        <v>12.3.1</v>
      </c>
      <c r="P109" s="72" t="str">
        <f>VLOOKUP($B109,'Standards Crosswalk'!$A:$H,6,FALSE)</f>
        <v>PR.IP-4</v>
      </c>
      <c r="Q109" s="72" t="str">
        <f>VLOOKUP($B109,'Standards Crosswalk'!$A:$H,7,FALSE)</f>
        <v>3.8.1, 3.8.5, 3.8.9</v>
      </c>
      <c r="R109" s="72" t="str">
        <f>VLOOKUP($B109,'Standards Crosswalk'!$A:$H,8,FALSE)</f>
        <v>CP-9, MP-5</v>
      </c>
      <c r="S109" s="72" t="str">
        <f>VLOOKUP($B109,'Standards Crosswalk'!$A:$I,9,FALSE)</f>
        <v>9.x</v>
      </c>
    </row>
    <row r="110" spans="1:19" ht="61" thickBot="1" x14ac:dyDescent="0.2">
      <c r="A110" s="71">
        <f t="shared" si="4"/>
        <v>108</v>
      </c>
      <c r="B110" s="77" t="s">
        <v>274</v>
      </c>
      <c r="C110" s="78" t="str">
        <f>VLOOKUP(B110,'HECVAT - Full'!A:E,2,FALSE)</f>
        <v>Do backups containing the institution's data ever leave the Institution's Data Zone either physically or via network routing?</v>
      </c>
      <c r="D110" s="71">
        <f>VLOOKUP(B110,'HECVAT - Full'!A:E,4,FALSE)</f>
        <v>0</v>
      </c>
      <c r="E110" s="79" t="b">
        <f>IF(Table1[[#This Row],[Column11]]&gt;20,TRUE,FALSE)</f>
        <v>0</v>
      </c>
      <c r="F110" s="79" t="s">
        <v>2032</v>
      </c>
      <c r="G110" s="98" t="s">
        <v>19</v>
      </c>
      <c r="H110" s="81">
        <v>1</v>
      </c>
      <c r="I110" s="71" t="str">
        <f>VLOOKUP(B110,'HECVAT - Full'!A:E,3,FALSE)</f>
        <v>No</v>
      </c>
      <c r="J110" s="71">
        <f>IF(Table1[[#This Row],[Column7]]=Table1[[#This Row],[Column9]],1,0)</f>
        <v>1</v>
      </c>
      <c r="K110" s="71">
        <f>IF(Table1[[#This Row],[Column8]]=1,20,"")</f>
        <v>20</v>
      </c>
      <c r="L110" s="71">
        <f>IF(Table1[[#This Row],[Column8]]=1,J110*K110,"")</f>
        <v>20</v>
      </c>
      <c r="M110" s="72" t="str">
        <f>VLOOKUP($B110,'Standards Crosswalk'!$A:$H,3,FALSE)</f>
        <v>CSC 13</v>
      </c>
      <c r="N110" s="72">
        <f>VLOOKUP($B110,'Standards Crosswalk'!$A:$H,4,FALSE)</f>
        <v>0</v>
      </c>
      <c r="O110" s="72" t="str">
        <f>VLOOKUP($B110,'Standards Crosswalk'!$A:$H,5,FALSE)</f>
        <v>12.3.1</v>
      </c>
      <c r="P110" s="72">
        <f>VLOOKUP($B110,'Standards Crosswalk'!$A:$H,6,FALSE)</f>
        <v>0</v>
      </c>
      <c r="Q110" s="72" t="str">
        <f>VLOOKUP($B110,'Standards Crosswalk'!$A:$H,7,FALSE)</f>
        <v>3.8.9</v>
      </c>
      <c r="R110" s="72" t="str">
        <f>VLOOKUP($B110,'Standards Crosswalk'!$A:$H,8,FALSE)</f>
        <v>CP-9, MP-5</v>
      </c>
      <c r="S110" s="72">
        <f>VLOOKUP($B110,'Standards Crosswalk'!$A:$I,9,FALSE)</f>
        <v>12.8</v>
      </c>
    </row>
    <row r="111" spans="1:19" ht="121" thickBot="1" x14ac:dyDescent="0.2">
      <c r="A111" s="71">
        <f t="shared" si="4"/>
        <v>109</v>
      </c>
      <c r="B111" s="77" t="s">
        <v>275</v>
      </c>
      <c r="C111" s="78" t="str">
        <f>VLOOKUP(B111,'HECVAT - Full'!A:E,2,FALSE)</f>
        <v>Do you have a media handling process, that is documented and currently implemented, including end-of-life, repurposing, and data sanitization procedures?</v>
      </c>
      <c r="D111" s="71" t="str">
        <f>VLOOKUP(B111,'HECVAT - Full'!A:E,4,FALSE)</f>
        <v>Please see Information Security Policy</v>
      </c>
      <c r="E111" s="79" t="b">
        <f>IF(Table1[[#This Row],[Column11]]&gt;20,TRUE,FALSE)</f>
        <v>1</v>
      </c>
      <c r="F111" s="79" t="s">
        <v>2032</v>
      </c>
      <c r="G111" s="98" t="s">
        <v>16</v>
      </c>
      <c r="H111" s="81">
        <v>1</v>
      </c>
      <c r="I111" s="71" t="str">
        <f>VLOOKUP(B111,'HECVAT - Full'!A:E,3,FALSE)</f>
        <v>Yes</v>
      </c>
      <c r="J111" s="71">
        <f>IF(Table1[[#This Row],[Column7]]=Table1[[#This Row],[Column9]],1,0)</f>
        <v>1</v>
      </c>
      <c r="K111" s="71">
        <f>IF(Table1[[#This Row],[Column8]]=1,25,"")</f>
        <v>25</v>
      </c>
      <c r="L111" s="71">
        <f>IF(Table1[[#This Row],[Column8]]=1,J111*K111,"")</f>
        <v>25</v>
      </c>
      <c r="M111" s="72" t="str">
        <f>VLOOKUP($B111,'Standards Crosswalk'!$A:$H,3,FALSE)</f>
        <v>CSC 13</v>
      </c>
      <c r="N111" s="72">
        <f>VLOOKUP($B111,'Standards Crosswalk'!$A:$H,4,FALSE)</f>
        <v>0</v>
      </c>
      <c r="O111" s="72" t="str">
        <f>VLOOKUP($B111,'Standards Crosswalk'!$A:$H,5,FALSE)</f>
        <v>8.3.1</v>
      </c>
      <c r="P111" s="72" t="str">
        <f>VLOOKUP($B111,'Standards Crosswalk'!$A:$H,6,FALSE)</f>
        <v>PR.DS-3</v>
      </c>
      <c r="Q111" s="72" t="str">
        <f>VLOOKUP($B111,'Standards Crosswalk'!$A:$H,7,FALSE)</f>
        <v>3.7.1, 3.7.2, 3.8.3</v>
      </c>
      <c r="R111" s="72" t="str">
        <f>VLOOKUP($B111,'Standards Crosswalk'!$A:$H,8,FALSE)</f>
        <v>CP-9 MP-6, NIST SP 800-60, NIST SP 800-88, AC-2, AC-6, IA-4, PM-2, PM-10, SI-5, MA-2, MA-3, MP-6</v>
      </c>
      <c r="S111" s="72" t="str">
        <f>VLOOKUP($B111,'Standards Crosswalk'!$A:$I,9,FALSE)</f>
        <v>9.x</v>
      </c>
    </row>
    <row r="112" spans="1:19" ht="241" thickBot="1" x14ac:dyDescent="0.2">
      <c r="A112" s="71">
        <f t="shared" si="4"/>
        <v>110</v>
      </c>
      <c r="B112" s="77" t="s">
        <v>276</v>
      </c>
      <c r="C112" s="78" t="str">
        <f>VLOOKUP(B112,'HECVAT - Full'!A:E,2,FALSE)</f>
        <v>Does the process described in DATA-23 adhere to DoD 5220.22-M and/or NIST SP 800-88 standards?</v>
      </c>
      <c r="D112" s="71" t="str">
        <f>VLOOKUP(B112,'HECVAT - Full'!A:E,4,FALSE)</f>
        <v xml:space="preserve">We currently have no plans (or a percieved requirement) to adhere to these standards. </v>
      </c>
      <c r="E112" s="79" t="b">
        <f>IF(Table1[[#This Row],[Column11]]&gt;20,TRUE,FALSE)</f>
        <v>0</v>
      </c>
      <c r="F112" s="79" t="s">
        <v>2032</v>
      </c>
      <c r="G112" s="98" t="s">
        <v>16</v>
      </c>
      <c r="H112" s="81">
        <v>1</v>
      </c>
      <c r="I112" s="71" t="str">
        <f>VLOOKUP(B112,'HECVAT - Full'!A:E,3,FALSE)</f>
        <v>No</v>
      </c>
      <c r="J112" s="71">
        <f>IF(Table1[[#This Row],[Column7]]=Table1[[#This Row],[Column9]],1,0)</f>
        <v>0</v>
      </c>
      <c r="K112" s="71">
        <f>IF(Table1[[#This Row],[Column8]]=1,15,"")</f>
        <v>15</v>
      </c>
      <c r="L112" s="71">
        <f>IF(Table1[[#This Row],[Column8]]=1,J112*K112,"")</f>
        <v>0</v>
      </c>
      <c r="M112" s="72" t="str">
        <f>VLOOKUP($B112,'Standards Crosswalk'!$A:$H,3,FALSE)</f>
        <v>CSC 13</v>
      </c>
      <c r="N112" s="72">
        <f>VLOOKUP($B112,'Standards Crosswalk'!$A:$H,4,FALSE)</f>
        <v>0</v>
      </c>
      <c r="O112" s="72" t="str">
        <f>VLOOKUP($B112,'Standards Crosswalk'!$A:$H,5,FALSE)</f>
        <v>8.3.1, 18.1.1</v>
      </c>
      <c r="P112" s="72" t="str">
        <f>VLOOKUP($B112,'Standards Crosswalk'!$A:$H,6,FALSE)</f>
        <v>PR.DS-3</v>
      </c>
      <c r="Q112" s="72" t="str">
        <f>VLOOKUP($B112,'Standards Crosswalk'!$A:$H,7,FALSE)</f>
        <v>3.7.3, 3.8.3,</v>
      </c>
      <c r="R112" s="72" t="str">
        <f>VLOOKUP($B112,'Standards Crosswalk'!$A:$H,8,FALSE)</f>
        <v>AC-2, AC-6, IA-4, PM-2, PM-10, SI-5, MA-2</v>
      </c>
      <c r="S112" s="72">
        <f>VLOOKUP($B112,'Standards Crosswalk'!$A:$I,9,FALSE)</f>
        <v>0</v>
      </c>
    </row>
    <row r="113" spans="1:19" ht="61" thickBot="1" x14ac:dyDescent="0.2">
      <c r="A113" s="71">
        <f t="shared" si="4"/>
        <v>111</v>
      </c>
      <c r="B113" s="77" t="s">
        <v>277</v>
      </c>
      <c r="C113" s="78" t="str">
        <f>VLOOKUP(B113,'HECVAT - Full'!A:E,2,FALSE)</f>
        <v>Do procedures exist to ensure that retention and destruction of data meets established business and regulatory requirements?</v>
      </c>
      <c r="D113" s="71">
        <f>VLOOKUP(B113,'HECVAT - Full'!A:E,4,FALSE)</f>
        <v>0</v>
      </c>
      <c r="E113" s="79" t="b">
        <f>IF(Table1[[#This Row],[Column11]]&gt;20,TRUE,FALSE)</f>
        <v>0</v>
      </c>
      <c r="F113" s="79" t="s">
        <v>2032</v>
      </c>
      <c r="G113" s="98" t="s">
        <v>16</v>
      </c>
      <c r="H113" s="81">
        <v>1</v>
      </c>
      <c r="I113" s="71" t="str">
        <f>VLOOKUP(B113,'HECVAT - Full'!A:E,3,FALSE)</f>
        <v>Yes</v>
      </c>
      <c r="J113" s="71">
        <f>IF(Table1[[#This Row],[Column7]]=Table1[[#This Row],[Column9]],1,0)</f>
        <v>1</v>
      </c>
      <c r="K113" s="71">
        <f>IF(Table1[[#This Row],[Column8]]=1,20,"")</f>
        <v>20</v>
      </c>
      <c r="L113" s="71">
        <f>IF(Table1[[#This Row],[Column8]]=1,J113*K113,"")</f>
        <v>20</v>
      </c>
      <c r="M113" s="72" t="str">
        <f>VLOOKUP($B113,'Standards Crosswalk'!$A:$H,3,FALSE)</f>
        <v>CSC 13</v>
      </c>
      <c r="N113" s="72">
        <f>VLOOKUP($B113,'Standards Crosswalk'!$A:$H,4,FALSE)</f>
        <v>0</v>
      </c>
      <c r="O113" s="72" t="str">
        <f>VLOOKUP($B113,'Standards Crosswalk'!$A:$H,5,FALSE)</f>
        <v>8.3.1, 18.1.1</v>
      </c>
      <c r="P113" s="72" t="str">
        <f>VLOOKUP($B113,'Standards Crosswalk'!$A:$H,6,FALSE)</f>
        <v>PR.DS-3, ID.GV-3</v>
      </c>
      <c r="Q113" s="72" t="str">
        <f>VLOOKUP($B113,'Standards Crosswalk'!$A:$H,7,FALSE)</f>
        <v>3.7.3, 3.8.3,</v>
      </c>
      <c r="R113" s="72" t="str">
        <f>VLOOKUP($B113,'Standards Crosswalk'!$A:$H,8,FALSE)</f>
        <v>SI-12, AC-2, AC-6, IA-4, PM-2, PM-10, SI-5, MA-2</v>
      </c>
      <c r="S113" s="72">
        <f>VLOOKUP($B113,'Standards Crosswalk'!$A:$I,9,FALSE)</f>
        <v>0</v>
      </c>
    </row>
    <row r="114" spans="1:19" ht="329" thickBot="1" x14ac:dyDescent="0.2">
      <c r="A114" s="71">
        <f t="shared" si="4"/>
        <v>112</v>
      </c>
      <c r="B114" s="77" t="s">
        <v>278</v>
      </c>
      <c r="C114" s="78" t="str">
        <f>VLOOKUP(B114,'HECVAT - Full'!A:E,2,FALSE)</f>
        <v>Is media used for long-term retention of business data and archival purposes stored in a secure, environmentally protected area?</v>
      </c>
      <c r="D114" s="71" t="str">
        <f>VLOOKUP(B114,'HECVAT - Full'!A:E,4,FALSE)</f>
        <v xml:space="preserve">Long-term retention handled by storing encrypted data in AWS S3, which includes physical and environmental security and redundancy. </v>
      </c>
      <c r="E114" s="79" t="b">
        <f>IF(Table1[[#This Row],[Column11]]&gt;20,TRUE,FALSE)</f>
        <v>0</v>
      </c>
      <c r="F114" s="79" t="s">
        <v>2032</v>
      </c>
      <c r="G114" s="98" t="s">
        <v>16</v>
      </c>
      <c r="H114" s="81">
        <v>1</v>
      </c>
      <c r="I114" s="71" t="str">
        <f>VLOOKUP(B114,'HECVAT - Full'!A:E,3,FALSE)</f>
        <v>Yes</v>
      </c>
      <c r="J114" s="71">
        <f>IF(Table1[[#This Row],[Column7]]=Table1[[#This Row],[Column9]],1,0)</f>
        <v>1</v>
      </c>
      <c r="K114" s="71">
        <f>IF(Table1[[#This Row],[Column8]]=1,20,"")</f>
        <v>20</v>
      </c>
      <c r="L114" s="71">
        <f>IF(Table1[[#This Row],[Column8]]=1,J114*K114,"")</f>
        <v>20</v>
      </c>
      <c r="M114" s="72" t="str">
        <f>VLOOKUP($B114,'Standards Crosswalk'!$A:$H,3,FALSE)</f>
        <v>CSC 13</v>
      </c>
      <c r="N114" s="72">
        <f>VLOOKUP($B114,'Standards Crosswalk'!$A:$H,4,FALSE)</f>
        <v>0</v>
      </c>
      <c r="O114" s="72" t="str">
        <f>VLOOKUP($B114,'Standards Crosswalk'!$A:$H,5,FALSE)</f>
        <v>8.3.1, 18.1.1</v>
      </c>
      <c r="P114" s="72" t="str">
        <f>VLOOKUP($B114,'Standards Crosswalk'!$A:$H,6,FALSE)</f>
        <v>PR.DS-3</v>
      </c>
      <c r="Q114" s="72" t="str">
        <f>VLOOKUP($B114,'Standards Crosswalk'!$A:$H,7,FALSE)</f>
        <v>3.8.1, 3.8.2</v>
      </c>
      <c r="R114" s="72" t="str">
        <f>VLOOKUP($B114,'Standards Crosswalk'!$A:$H,8,FALSE)</f>
        <v>AC-2, AC-6, IA-4, PM-2, PM-10, SI-5</v>
      </c>
      <c r="S114" s="72" t="str">
        <f>VLOOKUP($B114,'Standards Crosswalk'!$A:$I,9,FALSE)</f>
        <v>12.8, 9.x</v>
      </c>
    </row>
    <row r="115" spans="1:19" ht="76" thickBot="1" x14ac:dyDescent="0.2">
      <c r="A115" s="71">
        <f t="shared" si="4"/>
        <v>113</v>
      </c>
      <c r="B115" s="77" t="s">
        <v>279</v>
      </c>
      <c r="C115" s="78" t="str">
        <f>VLOOKUP(B115,'HECVAT - Full'!A:E,2,FALSE)</f>
        <v>Will you handle data in a FERPA compliant manner?</v>
      </c>
      <c r="D115" s="71" t="str">
        <f>VLOOKUP(B115,'HECVAT - Full'!A:E,4,FALSE)</f>
        <v>Please see the FERPA Statement</v>
      </c>
      <c r="E115" s="79" t="b">
        <f>IF(Table1[[#This Row],[Column11]]&gt;20,TRUE,FALSE)</f>
        <v>0</v>
      </c>
      <c r="F115" s="79" t="s">
        <v>2032</v>
      </c>
      <c r="G115" s="98" t="s">
        <v>16</v>
      </c>
      <c r="H115" s="81">
        <v>1</v>
      </c>
      <c r="I115" s="71" t="str">
        <f>VLOOKUP(B115,'HECVAT - Full'!A:E,3,FALSE)</f>
        <v>Yes</v>
      </c>
      <c r="J115" s="71">
        <f>IF(Table1[[#This Row],[Column7]]=Table1[[#This Row],[Column9]],1,0)</f>
        <v>1</v>
      </c>
      <c r="K115" s="71">
        <f>IF(Table1[[#This Row],[Column8]]=1,20,"")</f>
        <v>20</v>
      </c>
      <c r="L115" s="71">
        <f>IF(Table1[[#This Row],[Column8]]=1,J115*K115,"")</f>
        <v>20</v>
      </c>
      <c r="M115" s="72" t="str">
        <f>VLOOKUP($B115,'Standards Crosswalk'!$A:$H,3,FALSE)</f>
        <v>CSC 13</v>
      </c>
      <c r="N115" s="72">
        <f>VLOOKUP($B115,'Standards Crosswalk'!$A:$H,4,FALSE)</f>
        <v>0</v>
      </c>
      <c r="O115" s="72" t="str">
        <f>VLOOKUP($B115,'Standards Crosswalk'!$A:$H,5,FALSE)</f>
        <v>18.1.1</v>
      </c>
      <c r="P115" s="72" t="str">
        <f>VLOOKUP($B115,'Standards Crosswalk'!$A:$H,6,FALSE)</f>
        <v>ID.GV-3</v>
      </c>
      <c r="Q115" s="72">
        <f>VLOOKUP($B115,'Standards Crosswalk'!$A:$H,7,FALSE)</f>
        <v>0</v>
      </c>
      <c r="R115" s="72">
        <f>VLOOKUP($B115,'Standards Crosswalk'!$A:$H,8,FALSE)</f>
        <v>0</v>
      </c>
      <c r="S115" s="72">
        <f>VLOOKUP($B115,'Standards Crosswalk'!$A:$I,9,FALSE)</f>
        <v>0</v>
      </c>
    </row>
    <row r="116" spans="1:19" ht="409.6" thickBot="1" x14ac:dyDescent="0.2">
      <c r="A116" s="71">
        <f t="shared" si="4"/>
        <v>114</v>
      </c>
      <c r="B116" s="77" t="s">
        <v>280</v>
      </c>
      <c r="C116" s="78" t="str">
        <f>VLOOKUP(B116,'HECVAT - Full'!A:E,2,FALSE)</f>
        <v>Is any institution data visible in system administration modules/tools?</v>
      </c>
      <c r="D116" s="71" t="str">
        <f>VLOOKUP(B116,'HECVAT - Full'!A:E,4,FALSE)</f>
        <v>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v>
      </c>
      <c r="E116" s="79" t="b">
        <f>IF(Table1[[#This Row],[Column11]]&gt;20,TRUE,FALSE)</f>
        <v>1</v>
      </c>
      <c r="F116" s="79" t="s">
        <v>2032</v>
      </c>
      <c r="G116" s="98" t="s">
        <v>19</v>
      </c>
      <c r="H116" s="81">
        <v>1</v>
      </c>
      <c r="I116" s="71" t="str">
        <f>VLOOKUP(B116,'HECVAT - Full'!A:E,3,FALSE)</f>
        <v>Yes</v>
      </c>
      <c r="J116" s="71">
        <f>IF(Table1[[#This Row],[Column7]]=Table1[[#This Row],[Column9]],1,0)</f>
        <v>0</v>
      </c>
      <c r="K116" s="71">
        <f>IF(Table1[[#This Row],[Column8]]=1,25,"")</f>
        <v>25</v>
      </c>
      <c r="L116" s="71">
        <f>IF(Table1[[#This Row],[Column8]]=1,J116*K116,"")</f>
        <v>0</v>
      </c>
      <c r="M116" s="72" t="str">
        <f>VLOOKUP($B116,'Standards Crosswalk'!$A:$H,3,FALSE)</f>
        <v>CSC 13, CSC 14</v>
      </c>
      <c r="N116" s="72">
        <f>VLOOKUP($B116,'Standards Crosswalk'!$A:$H,4,FALSE)</f>
        <v>0</v>
      </c>
      <c r="O116" s="72" t="str">
        <f>VLOOKUP($B116,'Standards Crosswalk'!$A:$H,5,FALSE)</f>
        <v>14.2.5</v>
      </c>
      <c r="P116" s="72" t="str">
        <f>VLOOKUP($B116,'Standards Crosswalk'!$A:$H,6,FALSE)</f>
        <v>PR.AC-4</v>
      </c>
      <c r="Q116" s="72">
        <f>VLOOKUP($B116,'Standards Crosswalk'!$A:$H,7,FALSE)</f>
        <v>0</v>
      </c>
      <c r="R116" s="72">
        <f>VLOOKUP($B116,'Standards Crosswalk'!$A:$H,8,FALSE)</f>
        <v>0</v>
      </c>
      <c r="S116" s="72">
        <f>VLOOKUP($B116,'Standards Crosswalk'!$A:$I,9,FALSE)</f>
        <v>0</v>
      </c>
    </row>
    <row r="117" spans="1:19" ht="151" thickBot="1" x14ac:dyDescent="0.2">
      <c r="A117" s="71">
        <f t="shared" si="4"/>
        <v>115</v>
      </c>
      <c r="B117" s="77" t="s">
        <v>281</v>
      </c>
      <c r="C117" s="78" t="str">
        <f>VLOOKUP(B117,'HECVAT - Full'!A:E,2,FALSE)</f>
        <v>Does the database support encryption of specified data elements in storage?</v>
      </c>
      <c r="D117" s="71" t="str">
        <f>VLOOKUP(B117,'HECVAT - Full'!A:E,4,FALSE)</f>
        <v>All data elements are stored at-rest using AES-256 encryption.</v>
      </c>
      <c r="E117" s="79" t="b">
        <f>IF(Table1[[#This Row],[Column11]]&gt;20,TRUE,FALSE)</f>
        <v>1</v>
      </c>
      <c r="F117" s="79" t="s">
        <v>2033</v>
      </c>
      <c r="G117" s="80" t="s">
        <v>16</v>
      </c>
      <c r="H117" s="81">
        <v>1</v>
      </c>
      <c r="I117" s="71" t="str">
        <f>VLOOKUP(B117,'HECVAT - Full'!A:E,3,FALSE)</f>
        <v>Yes</v>
      </c>
      <c r="J117" s="71">
        <f>IF(Table1[[#This Row],[Column7]]=Table1[[#This Row],[Column9]],1,0)</f>
        <v>1</v>
      </c>
      <c r="K117" s="71">
        <f>IF(Table1[[#This Row],[Column8]]=1,25,"")</f>
        <v>25</v>
      </c>
      <c r="L117" s="71">
        <f>IF(Table1[[#This Row],[Column8]]=1,J117*K117,"")</f>
        <v>25</v>
      </c>
      <c r="M117" s="72" t="str">
        <f>VLOOKUP($B117,'Standards Crosswalk'!$A:$H,3,FALSE)</f>
        <v>CSC 13</v>
      </c>
      <c r="N117" s="72">
        <f>VLOOKUP($B117,'Standards Crosswalk'!$A:$H,4,FALSE)</f>
        <v>0</v>
      </c>
      <c r="O117" s="72" t="str">
        <f>VLOOKUP($B117,'Standards Crosswalk'!$A:$H,5,FALSE)</f>
        <v>10.1.1</v>
      </c>
      <c r="P117" s="72" t="str">
        <f>VLOOKUP($B117,'Standards Crosswalk'!$A:$H,6,FALSE)</f>
        <v>PR.DS-1</v>
      </c>
      <c r="Q117" s="72">
        <f>VLOOKUP($B117,'Standards Crosswalk'!$A:$H,7,FALSE)</f>
        <v>0</v>
      </c>
      <c r="R117" s="72">
        <f>VLOOKUP($B117,'Standards Crosswalk'!$A:$H,8,FALSE)</f>
        <v>0</v>
      </c>
      <c r="S117" s="72">
        <f>VLOOKUP($B117,'Standards Crosswalk'!$A:$I,9,FALSE)</f>
        <v>0</v>
      </c>
    </row>
    <row r="118" spans="1:19" ht="151" thickBot="1" x14ac:dyDescent="0.2">
      <c r="A118" s="71">
        <f t="shared" si="4"/>
        <v>116</v>
      </c>
      <c r="B118" s="77" t="s">
        <v>282</v>
      </c>
      <c r="C118" s="78" t="str">
        <f>VLOOKUP(B118,'HECVAT - Full'!A:E,2,FALSE)</f>
        <v>Do you currently use encryption in your database(s)?</v>
      </c>
      <c r="D118" s="71" t="str">
        <f>VLOOKUP(B118,'HECVAT - Full'!A:E,4,FALSE)</f>
        <v>All data elements are stored at-rest using AES-256 encryption.</v>
      </c>
      <c r="E118" s="79" t="b">
        <f>IF(Table1[[#This Row],[Column11]]&gt;20,TRUE,FALSE)</f>
        <v>1</v>
      </c>
      <c r="F118" s="79" t="s">
        <v>2033</v>
      </c>
      <c r="G118" s="80" t="s">
        <v>16</v>
      </c>
      <c r="H118" s="81">
        <v>1</v>
      </c>
      <c r="I118" s="71" t="str">
        <f>VLOOKUP(B118,'HECVAT - Full'!A:E,3,FALSE)</f>
        <v>Yes</v>
      </c>
      <c r="J118" s="71">
        <f>IF(Table1[[#This Row],[Column7]]=Table1[[#This Row],[Column9]],1,0)</f>
        <v>1</v>
      </c>
      <c r="K118" s="71">
        <f>IF(Table1[[#This Row],[Column8]]=1,25,"")</f>
        <v>25</v>
      </c>
      <c r="L118" s="71">
        <f>IF(Table1[[#This Row],[Column8]]=1,J118*K118,"")</f>
        <v>25</v>
      </c>
      <c r="M118" s="72" t="str">
        <f>VLOOKUP($B118,'Standards Crosswalk'!$A:$H,3,FALSE)</f>
        <v>CSC 13</v>
      </c>
      <c r="N118" s="72">
        <f>VLOOKUP($B118,'Standards Crosswalk'!$A:$H,4,FALSE)</f>
        <v>0</v>
      </c>
      <c r="O118" s="72" t="str">
        <f>VLOOKUP($B118,'Standards Crosswalk'!$A:$H,5,FALSE)</f>
        <v>10.1.1</v>
      </c>
      <c r="P118" s="72" t="str">
        <f>VLOOKUP($B118,'Standards Crosswalk'!$A:$H,6,FALSE)</f>
        <v>PR.DS-1, PR.DS-2</v>
      </c>
      <c r="Q118" s="72">
        <f>VLOOKUP($B118,'Standards Crosswalk'!$A:$H,7,FALSE)</f>
        <v>0</v>
      </c>
      <c r="R118" s="72">
        <f>VLOOKUP($B118,'Standards Crosswalk'!$A:$H,8,FALSE)</f>
        <v>0</v>
      </c>
      <c r="S118" s="72">
        <f>VLOOKUP($B118,'Standards Crosswalk'!$A:$I,9,FALSE)</f>
        <v>0</v>
      </c>
    </row>
    <row r="119" spans="1:19" ht="61" thickBot="1" x14ac:dyDescent="0.2">
      <c r="A119" s="71">
        <f t="shared" si="4"/>
        <v>117</v>
      </c>
      <c r="B119" s="77" t="s">
        <v>283</v>
      </c>
      <c r="C119" s="78" t="str">
        <f>VLOOKUP(B119,'HECVAT - Full'!A:E,2,FALSE)</f>
        <v>Does your company own the physical data center where the Institution's data will reside?</v>
      </c>
      <c r="D119" s="71" t="str">
        <f>VLOOKUP(B119,'HECVAT - Full'!A:E,4,FALSE)</f>
        <v>Amazon Web Services</v>
      </c>
      <c r="E119" s="79" t="b">
        <f>IF(Table1[[#This Row],[Column11]]&gt;20,TRUE,FALSE)</f>
        <v>0</v>
      </c>
      <c r="F119" s="79" t="s">
        <v>2034</v>
      </c>
      <c r="G119" s="80" t="s">
        <v>16</v>
      </c>
      <c r="H119" s="81">
        <v>1</v>
      </c>
      <c r="I119" s="71" t="str">
        <f>VLOOKUP(B119,'HECVAT - Full'!A:E,3,FALSE)</f>
        <v>No</v>
      </c>
      <c r="J119" s="71">
        <f>IF(Table1[[#This Row],[Column7]]=Table1[[#This Row],[Column9]],1,0)</f>
        <v>0</v>
      </c>
      <c r="K119" s="71">
        <f>IF(Table1[[#This Row],[Column8]]=1,15,"")</f>
        <v>15</v>
      </c>
      <c r="L119" s="71">
        <f>IF(Table1[[#This Row],[Column8]]=1,J119*K119,"")</f>
        <v>0</v>
      </c>
      <c r="M119" s="72" t="str">
        <f>VLOOKUP($B119,'Standards Crosswalk'!$A:$H,3,FALSE)</f>
        <v>CSC 14</v>
      </c>
      <c r="N119" s="72">
        <f>VLOOKUP($B119,'Standards Crosswalk'!$A:$H,4,FALSE)</f>
        <v>0</v>
      </c>
      <c r="O119" s="72" t="str">
        <f>VLOOKUP($B119,'Standards Crosswalk'!$A:$H,5,FALSE)</f>
        <v>11.1.1</v>
      </c>
      <c r="P119" s="72" t="str">
        <f>VLOOKUP($B119,'Standards Crosswalk'!$A:$H,6,FALSE)</f>
        <v>PR.AC-2, PR.IP-5</v>
      </c>
      <c r="Q119" s="72">
        <f>VLOOKUP($B119,'Standards Crosswalk'!$A:$H,7,FALSE)</f>
        <v>0</v>
      </c>
      <c r="R119" s="72">
        <f>VLOOKUP($B119,'Standards Crosswalk'!$A:$H,8,FALSE)</f>
        <v>0</v>
      </c>
      <c r="S119" s="72" t="str">
        <f>VLOOKUP($B119,'Standards Crosswalk'!$A:$I,9,FALSE)</f>
        <v>12.8, 9.x</v>
      </c>
    </row>
    <row r="120" spans="1:19" ht="31" thickBot="1" x14ac:dyDescent="0.2">
      <c r="A120" s="71">
        <f t="shared" si="4"/>
        <v>118</v>
      </c>
      <c r="B120" s="77" t="s">
        <v>284</v>
      </c>
      <c r="C120" s="78" t="str">
        <f>VLOOKUP(B120,'HECVAT - Full'!A:E,2,FALSE)</f>
        <v>Does the hosting provider have a SOC 2 Type 2 report available?</v>
      </c>
      <c r="D120" s="71">
        <f>VLOOKUP(B120,'HECVAT - Full'!A:E,4,FALSE)</f>
        <v>0</v>
      </c>
      <c r="E120" s="79" t="b">
        <f>IF(Table1[[#This Row],[Column11]]&gt;20,TRUE,FALSE)</f>
        <v>0</v>
      </c>
      <c r="F120" s="79" t="s">
        <v>2034</v>
      </c>
      <c r="G120" s="80" t="s">
        <v>16</v>
      </c>
      <c r="H120" s="81">
        <v>1</v>
      </c>
      <c r="I120" s="71" t="str">
        <f>VLOOKUP(B120,'HECVAT - Full'!A:E,3,FALSE)</f>
        <v>Yes</v>
      </c>
      <c r="J120" s="71">
        <f>IF(Table1[[#This Row],[Column7]]=Table1[[#This Row],[Column9]],1,0)</f>
        <v>1</v>
      </c>
      <c r="K120" s="71">
        <f>IF(Table1[[#This Row],[Column8]]=1,15,"")</f>
        <v>15</v>
      </c>
      <c r="L120" s="71">
        <f>IF(Table1[[#This Row],[Column8]]=1,J120*K120,"")</f>
        <v>15</v>
      </c>
      <c r="M120" s="72" t="str">
        <f>VLOOKUP($B120,'Standards Crosswalk'!$A:$H,3,FALSE)</f>
        <v>CSC 13</v>
      </c>
      <c r="N120" s="72">
        <f>VLOOKUP($B120,'Standards Crosswalk'!$A:$H,4,FALSE)</f>
        <v>0</v>
      </c>
      <c r="O120" s="72" t="str">
        <f>VLOOKUP($B120,'Standards Crosswalk'!$A:$H,5,FALSE)</f>
        <v>11.1.1</v>
      </c>
      <c r="P120" s="72">
        <f>VLOOKUP($B120,'Standards Crosswalk'!$A:$H,6,FALSE)</f>
        <v>0</v>
      </c>
      <c r="Q120" s="72">
        <f>VLOOKUP($B120,'Standards Crosswalk'!$A:$H,7,FALSE)</f>
        <v>0</v>
      </c>
      <c r="R120" s="72">
        <f>VLOOKUP($B120,'Standards Crosswalk'!$A:$H,8,FALSE)</f>
        <v>0</v>
      </c>
      <c r="S120" s="72">
        <f>VLOOKUP($B120,'Standards Crosswalk'!$A:$I,9,FALSE)</f>
        <v>0</v>
      </c>
    </row>
    <row r="121" spans="1:19" ht="46" thickBot="1" x14ac:dyDescent="0.2">
      <c r="A121" s="71">
        <f t="shared" si="4"/>
        <v>119</v>
      </c>
      <c r="B121" s="77" t="s">
        <v>285</v>
      </c>
      <c r="C121" s="78" t="str">
        <f>VLOOKUP(B121,'HECVAT - Full'!A:E,2,FALSE)</f>
        <v>Are the data centers staffed 24 hours a day, seven days a week (i.e., 24x7x365)?</v>
      </c>
      <c r="D121" s="71">
        <f>VLOOKUP(B121,'HECVAT - Full'!A:E,4,FALSE)</f>
        <v>0</v>
      </c>
      <c r="E121" s="79" t="b">
        <f>IF(Table1[[#This Row],[Column11]]&gt;20,TRUE,FALSE)</f>
        <v>0</v>
      </c>
      <c r="F121" s="79" t="s">
        <v>2034</v>
      </c>
      <c r="G121" s="80" t="s">
        <v>16</v>
      </c>
      <c r="H121" s="81">
        <v>1</v>
      </c>
      <c r="I121" s="71" t="str">
        <f>VLOOKUP(B121,'HECVAT - Full'!A:E,3,FALSE)</f>
        <v>Yes</v>
      </c>
      <c r="J121" s="71">
        <f>IF(Table1[[#This Row],[Column7]]=Table1[[#This Row],[Column9]],1,0)</f>
        <v>1</v>
      </c>
      <c r="K121" s="71">
        <f>IF(Table1[[#This Row],[Column8]]=1,15,"")</f>
        <v>15</v>
      </c>
      <c r="L121" s="71">
        <f>IF(Table1[[#This Row],[Column8]]=1,J121*K121,"")</f>
        <v>15</v>
      </c>
      <c r="M121" s="72" t="str">
        <f>VLOOKUP($B121,'Standards Crosswalk'!$A:$H,3,FALSE)</f>
        <v>CSC 3</v>
      </c>
      <c r="N121" s="72">
        <f>VLOOKUP($B121,'Standards Crosswalk'!$A:$H,4,FALSE)</f>
        <v>0</v>
      </c>
      <c r="O121" s="72" t="str">
        <f>VLOOKUP($B121,'Standards Crosswalk'!$A:$H,5,FALSE)</f>
        <v>17.2.1</v>
      </c>
      <c r="P121" s="72">
        <f>VLOOKUP($B121,'Standards Crosswalk'!$A:$H,6,FALSE)</f>
        <v>0</v>
      </c>
      <c r="Q121" s="72">
        <f>VLOOKUP($B121,'Standards Crosswalk'!$A:$H,7,FALSE)</f>
        <v>0</v>
      </c>
      <c r="R121" s="72">
        <f>VLOOKUP($B121,'Standards Crosswalk'!$A:$H,8,FALSE)</f>
        <v>0</v>
      </c>
      <c r="S121" s="72">
        <f>VLOOKUP($B121,'Standards Crosswalk'!$A:$I,9,FALSE)</f>
        <v>0</v>
      </c>
    </row>
    <row r="122" spans="1:19" ht="31" thickBot="1" x14ac:dyDescent="0.2">
      <c r="A122" s="71">
        <f t="shared" si="4"/>
        <v>120</v>
      </c>
      <c r="B122" s="77" t="s">
        <v>286</v>
      </c>
      <c r="C122" s="78" t="str">
        <f>VLOOKUP(B122,'HECVAT - Full'!A:E,2,FALSE)</f>
        <v>Do any of your servers reside in a co-located data center?</v>
      </c>
      <c r="D122" s="71">
        <f>VLOOKUP(B122,'HECVAT - Full'!A:E,4,FALSE)</f>
        <v>0</v>
      </c>
      <c r="E122" s="79" t="b">
        <f>IF(Table1[[#This Row],[Column11]]&gt;20,TRUE,FALSE)</f>
        <v>1</v>
      </c>
      <c r="F122" s="79" t="s">
        <v>2034</v>
      </c>
      <c r="G122" s="80" t="s">
        <v>19</v>
      </c>
      <c r="H122" s="81">
        <v>1</v>
      </c>
      <c r="I122" s="71" t="str">
        <f>VLOOKUP(B122,'HECVAT - Full'!A:E,3,FALSE)</f>
        <v>No</v>
      </c>
      <c r="J122" s="71">
        <f>IF(Table1[[#This Row],[Column7]]=Table1[[#This Row],[Column9]],1,0)</f>
        <v>1</v>
      </c>
      <c r="K122" s="71">
        <v>25</v>
      </c>
      <c r="L122" s="71">
        <f>IF(Table1[[#This Row],[Column8]]=1,J122*K122,"")</f>
        <v>25</v>
      </c>
      <c r="M122" s="72" t="str">
        <f>VLOOKUP($B122,'Standards Crosswalk'!$A:$H,3,FALSE)</f>
        <v>CSC 3, CSC 14</v>
      </c>
      <c r="N122" s="72">
        <f>VLOOKUP($B122,'Standards Crosswalk'!$A:$H,4,FALSE)</f>
        <v>0</v>
      </c>
      <c r="O122" s="72">
        <f>VLOOKUP($B122,'Standards Crosswalk'!$A:$H,5,FALSE)</f>
        <v>0</v>
      </c>
      <c r="P122" s="72">
        <f>VLOOKUP($B122,'Standards Crosswalk'!$A:$H,6,FALSE)</f>
        <v>0</v>
      </c>
      <c r="Q122" s="72">
        <f>VLOOKUP($B122,'Standards Crosswalk'!$A:$H,7,FALSE)</f>
        <v>0</v>
      </c>
      <c r="R122" s="72" t="str">
        <f>VLOOKUP($B122,'Standards Crosswalk'!$A:$H,8,FALSE)</f>
        <v>AC-4</v>
      </c>
      <c r="S122" s="72">
        <f>VLOOKUP($B122,'Standards Crosswalk'!$A:$I,9,FALSE)</f>
        <v>12.8</v>
      </c>
    </row>
    <row r="123" spans="1:19" ht="61" thickBot="1" x14ac:dyDescent="0.2">
      <c r="A123" s="71">
        <f t="shared" si="4"/>
        <v>121</v>
      </c>
      <c r="B123" s="95" t="s">
        <v>287</v>
      </c>
      <c r="C123" s="78" t="str">
        <f>VLOOKUP(B123,'HECVAT - Full'!A:E,2,FALSE)</f>
        <v>Are your servers separated from other companies via a physical barrier, such as a cage or hardened walls?</v>
      </c>
      <c r="D123" s="71">
        <f>VLOOKUP(B123,'HECVAT - Full'!A:E,4,FALSE)</f>
        <v>0</v>
      </c>
      <c r="E123" s="79" t="b">
        <f>IF(Table1[[#This Row],[Column11]]&gt;20,TRUE,FALSE)</f>
        <v>1</v>
      </c>
      <c r="F123" s="79" t="s">
        <v>2034</v>
      </c>
      <c r="G123" s="80" t="s">
        <v>16</v>
      </c>
      <c r="H123" s="81">
        <f>IF(I122="Yes",1,0)</f>
        <v>0</v>
      </c>
      <c r="I123" s="71">
        <f>VLOOKUP(B123,'HECVAT - Full'!A:E,3,FALSE)</f>
        <v>0</v>
      </c>
      <c r="J123" s="71">
        <f>IF(Table1[[#This Row],[Column7]]=Table1[[#This Row],[Column9]],1,0)</f>
        <v>0</v>
      </c>
      <c r="K123" s="71" t="str">
        <f>IF(Table1[[#This Row],[Column8]]=1,20,"")</f>
        <v/>
      </c>
      <c r="L123" s="71" t="str">
        <f>IF(Table1[[#This Row],[Column8]]=1,J123*K123,"")</f>
        <v/>
      </c>
      <c r="M123" s="72" t="str">
        <f>VLOOKUP($B123,'Standards Crosswalk'!$A:$H,3,FALSE)</f>
        <v>CSC 3, CSC 14</v>
      </c>
      <c r="N123" s="72">
        <f>VLOOKUP($B123,'Standards Crosswalk'!$A:$H,4,FALSE)</f>
        <v>0</v>
      </c>
      <c r="O123" s="72" t="str">
        <f>VLOOKUP($B123,'Standards Crosswalk'!$A:$H,5,FALSE)</f>
        <v>13.1.2</v>
      </c>
      <c r="P123" s="72" t="str">
        <f>VLOOKUP($B123,'Standards Crosswalk'!$A:$H,6,FALSE)</f>
        <v>PR.AC-2</v>
      </c>
      <c r="Q123" s="72">
        <f>VLOOKUP($B123,'Standards Crosswalk'!$A:$H,7,FALSE)</f>
        <v>0</v>
      </c>
      <c r="R123" s="72">
        <f>VLOOKUP($B123,'Standards Crosswalk'!$A:$H,8,FALSE)</f>
        <v>0</v>
      </c>
      <c r="S123" s="72" t="str">
        <f>VLOOKUP($B123,'Standards Crosswalk'!$A:$I,9,FALSE)</f>
        <v>9.x</v>
      </c>
    </row>
    <row r="124" spans="1:19" ht="61" thickBot="1" x14ac:dyDescent="0.2">
      <c r="A124" s="71">
        <f t="shared" si="4"/>
        <v>122</v>
      </c>
      <c r="B124" s="95" t="s">
        <v>288</v>
      </c>
      <c r="C124" s="78" t="str">
        <f>VLOOKUP(B124,'HECVAT - Full'!A:E,2,FALSE)</f>
        <v>Does a physical barrier fully enclose the physical space preventing unauthorized physical contact with any of your devices?</v>
      </c>
      <c r="D124" s="71">
        <f>VLOOKUP(B124,'HECVAT - Full'!A:E,4,FALSE)</f>
        <v>0</v>
      </c>
      <c r="E124" s="79" t="b">
        <f>IF(Table1[[#This Row],[Column11]]&gt;20,TRUE,FALSE)</f>
        <v>1</v>
      </c>
      <c r="F124" s="79" t="s">
        <v>2034</v>
      </c>
      <c r="G124" s="80" t="s">
        <v>16</v>
      </c>
      <c r="H124" s="81">
        <f>IF(I122="Yes",1,0)</f>
        <v>0</v>
      </c>
      <c r="I124" s="71">
        <f>VLOOKUP(B124,'HECVAT - Full'!A:E,3,FALSE)</f>
        <v>0</v>
      </c>
      <c r="J124" s="71">
        <f>IF(Table1[[#This Row],[Column7]]=Table1[[#This Row],[Column9]],1,0)</f>
        <v>0</v>
      </c>
      <c r="K124" s="71" t="str">
        <f>IF(Table1[[#This Row],[Column8]]=1,20,"")</f>
        <v/>
      </c>
      <c r="L124" s="71" t="str">
        <f>IF(Table1[[#This Row],[Column8]]=1,J124*K124,"")</f>
        <v/>
      </c>
      <c r="M124" s="72" t="str">
        <f>VLOOKUP($B124,'Standards Crosswalk'!$A:$H,3,FALSE)</f>
        <v>CSC 14</v>
      </c>
      <c r="N124" s="72">
        <f>VLOOKUP($B124,'Standards Crosswalk'!$A:$H,4,FALSE)</f>
        <v>0</v>
      </c>
      <c r="O124" s="72" t="str">
        <f>VLOOKUP($B124,'Standards Crosswalk'!$A:$H,5,FALSE)</f>
        <v>11.1.1, 11.1.2</v>
      </c>
      <c r="P124" s="72" t="str">
        <f>VLOOKUP($B124,'Standards Crosswalk'!$A:$H,6,FALSE)</f>
        <v>PR.AC-2</v>
      </c>
      <c r="Q124" s="72" t="str">
        <f>VLOOKUP($B124,'Standards Crosswalk'!$A:$H,7,FALSE)</f>
        <v>3.8.1, 3.8.2</v>
      </c>
      <c r="R124" s="72">
        <f>VLOOKUP($B124,'Standards Crosswalk'!$A:$H,8,FALSE)</f>
        <v>0</v>
      </c>
      <c r="S124" s="72" t="str">
        <f>VLOOKUP($B124,'Standards Crosswalk'!$A:$I,9,FALSE)</f>
        <v>9.x</v>
      </c>
    </row>
    <row r="125" spans="1:19" ht="196" thickBot="1" x14ac:dyDescent="0.2">
      <c r="A125" s="71">
        <f t="shared" si="4"/>
        <v>123</v>
      </c>
      <c r="B125" s="77" t="s">
        <v>289</v>
      </c>
      <c r="C125" s="78" t="str">
        <f>VLOOKUP(B125,'HECVAT - Full'!A:E,2,FALSE)</f>
        <v>Select the option that best describes the network segment that servers are connected to.</v>
      </c>
      <c r="D125" s="71" t="str">
        <f>VLOOKUP(B125,'HECVAT - Full'!A:E,4,FALSE)</f>
        <v>Within the VPC, subnets and security groups are used to segment access.</v>
      </c>
      <c r="E125" s="79" t="b">
        <f>IF(Table1[[#This Row],[Column11]]&gt;20,TRUE,FALSE)</f>
        <v>0</v>
      </c>
      <c r="F125" s="79" t="s">
        <v>2034</v>
      </c>
      <c r="G125" s="80" t="s">
        <v>16</v>
      </c>
      <c r="H125" s="81">
        <v>1</v>
      </c>
      <c r="I125" s="71" t="str">
        <f>VLOOKUP(B125,'HECVAT - Full'!A:E,3,FALSE)</f>
        <v>Exclusive VLAN</v>
      </c>
      <c r="J125" s="71">
        <f>IF(VLOOKUP(Table1[[#This Row],[Column2]],'Analyst Report'!$A$41:$G$88,7,FALSE)="Yes",1,0)</f>
        <v>0</v>
      </c>
      <c r="K125" s="71">
        <f>IF(Table1[[#This Row],[Column8]]=1,20,"")</f>
        <v>20</v>
      </c>
      <c r="L125" s="71">
        <f>IF(Table1[[#This Row],[Column8]]=1,J125*K125,"")</f>
        <v>0</v>
      </c>
      <c r="M125" s="72" t="str">
        <f>VLOOKUP($B125,'Standards Crosswalk'!$A:$H,3,FALSE)</f>
        <v>CSC 9</v>
      </c>
      <c r="N125" s="72">
        <f>VLOOKUP($B125,'Standards Crosswalk'!$A:$H,4,FALSE)</f>
        <v>0</v>
      </c>
      <c r="O125" s="72">
        <f>VLOOKUP($B125,'Standards Crosswalk'!$A:$H,5,FALSE)</f>
        <v>0</v>
      </c>
      <c r="P125" s="72" t="str">
        <f>VLOOKUP($B125,'Standards Crosswalk'!$A:$H,6,FALSE)</f>
        <v>PR.AC-5</v>
      </c>
      <c r="Q125" s="72" t="str">
        <f>VLOOKUP($B125,'Standards Crosswalk'!$A:$H,7,FALSE)</f>
        <v>3.1.3</v>
      </c>
      <c r="R125" s="72">
        <f>VLOOKUP($B125,'Standards Crosswalk'!$A:$H,8,FALSE)</f>
        <v>0</v>
      </c>
      <c r="S125" s="72">
        <f>VLOOKUP($B125,'Standards Crosswalk'!$A:$I,9,FALSE)</f>
        <v>0</v>
      </c>
    </row>
    <row r="126" spans="1:19" ht="31" thickBot="1" x14ac:dyDescent="0.2">
      <c r="A126" s="71">
        <f t="shared" si="4"/>
        <v>124</v>
      </c>
      <c r="B126" s="77" t="s">
        <v>290</v>
      </c>
      <c r="C126" s="78" t="str">
        <f>VLOOKUP(B126,'HECVAT - Full'!A:E,2,FALSE)</f>
        <v>Does this data center operate outside of the Institution's Data Zone?</v>
      </c>
      <c r="D126" s="71">
        <f>VLOOKUP(B126,'HECVAT - Full'!A:E,4,FALSE)</f>
        <v>0</v>
      </c>
      <c r="E126" s="79" t="b">
        <f>IF(Table1[[#This Row],[Column11]]&gt;20,TRUE,FALSE)</f>
        <v>0</v>
      </c>
      <c r="F126" s="79" t="s">
        <v>2034</v>
      </c>
      <c r="G126" s="80" t="s">
        <v>19</v>
      </c>
      <c r="H126" s="81">
        <v>1</v>
      </c>
      <c r="I126" s="71" t="str">
        <f>VLOOKUP(B126,'HECVAT - Full'!A:E,3,FALSE)</f>
        <v>No</v>
      </c>
      <c r="J126" s="71">
        <f>IF(Table1[[#This Row],[Column7]]=Table1[[#This Row],[Column9]],1,0)</f>
        <v>1</v>
      </c>
      <c r="K126" s="71">
        <f>IF(Table1[[#This Row],[Column8]]=1,20,"")</f>
        <v>20</v>
      </c>
      <c r="L126" s="71">
        <f>IF(Table1[[#This Row],[Column8]]=1,J126*K126,"")</f>
        <v>20</v>
      </c>
      <c r="M126" s="72" t="str">
        <f>VLOOKUP($B126,'Standards Crosswalk'!$A:$H,3,FALSE)</f>
        <v>CSC 12</v>
      </c>
      <c r="N126" s="72">
        <f>VLOOKUP($B126,'Standards Crosswalk'!$A:$H,4,FALSE)</f>
        <v>0</v>
      </c>
      <c r="O126" s="72" t="str">
        <f>VLOOKUP($B126,'Standards Crosswalk'!$A:$H,5,FALSE)</f>
        <v>18.1.1</v>
      </c>
      <c r="P126" s="72">
        <f>VLOOKUP($B126,'Standards Crosswalk'!$A:$H,6,FALSE)</f>
        <v>0</v>
      </c>
      <c r="Q126" s="72">
        <f>VLOOKUP($B126,'Standards Crosswalk'!$A:$H,7,FALSE)</f>
        <v>0</v>
      </c>
      <c r="R126" s="72">
        <f>VLOOKUP($B126,'Standards Crosswalk'!$A:$H,8,FALSE)</f>
        <v>0</v>
      </c>
      <c r="S126" s="72">
        <f>VLOOKUP($B126,'Standards Crosswalk'!$A:$I,9,FALSE)</f>
        <v>12.8</v>
      </c>
    </row>
    <row r="127" spans="1:19" ht="31" thickBot="1" x14ac:dyDescent="0.2">
      <c r="A127" s="71">
        <f t="shared" si="4"/>
        <v>125</v>
      </c>
      <c r="B127" s="77" t="s">
        <v>291</v>
      </c>
      <c r="C127" s="78" t="str">
        <f>VLOOKUP(B127,'HECVAT - Full'!A:E,2,FALSE)</f>
        <v>Will any institution data leave the Institution's Data Zone?</v>
      </c>
      <c r="D127" s="71">
        <f>VLOOKUP(B127,'HECVAT - Full'!A:E,4,FALSE)</f>
        <v>0</v>
      </c>
      <c r="E127" s="79" t="b">
        <f>IF(Table1[[#This Row],[Column11]]&gt;20,TRUE,FALSE)</f>
        <v>1</v>
      </c>
      <c r="F127" s="79" t="s">
        <v>2034</v>
      </c>
      <c r="G127" s="80" t="s">
        <v>19</v>
      </c>
      <c r="H127" s="81">
        <v>1</v>
      </c>
      <c r="I127" s="71" t="str">
        <f>VLOOKUP(B127,'HECVAT - Full'!A:E,3,FALSE)</f>
        <v>No</v>
      </c>
      <c r="J127" s="71">
        <f>IF(Table1[[#This Row],[Column7]]=Table1[[#This Row],[Column9]],1,0)</f>
        <v>1</v>
      </c>
      <c r="K127" s="71">
        <v>25</v>
      </c>
      <c r="L127" s="71">
        <f>IF(Table1[[#This Row],[Column8]]=1,J127*K127,"")</f>
        <v>25</v>
      </c>
      <c r="M127" s="72" t="str">
        <f>VLOOKUP($B127,'Standards Crosswalk'!$A:$H,3,FALSE)</f>
        <v>CSC 12</v>
      </c>
      <c r="N127" s="72">
        <f>VLOOKUP($B127,'Standards Crosswalk'!$A:$H,4,FALSE)</f>
        <v>0</v>
      </c>
      <c r="O127" s="72" t="str">
        <f>VLOOKUP($B127,'Standards Crosswalk'!$A:$H,5,FALSE)</f>
        <v>18.1.1</v>
      </c>
      <c r="P127" s="72">
        <f>VLOOKUP($B127,'Standards Crosswalk'!$A:$H,6,FALSE)</f>
        <v>0</v>
      </c>
      <c r="Q127" s="72">
        <f>VLOOKUP($B127,'Standards Crosswalk'!$A:$H,7,FALSE)</f>
        <v>0</v>
      </c>
      <c r="R127" s="72">
        <f>VLOOKUP($B127,'Standards Crosswalk'!$A:$H,8,FALSE)</f>
        <v>0</v>
      </c>
      <c r="S127" s="72">
        <f>VLOOKUP($B127,'Standards Crosswalk'!$A:$I,9,FALSE)</f>
        <v>12.9</v>
      </c>
    </row>
    <row r="128" spans="1:19" ht="16" thickBot="1" x14ac:dyDescent="0.2">
      <c r="A128" s="71">
        <f t="shared" si="4"/>
        <v>126</v>
      </c>
      <c r="B128" s="77" t="str">
        <f>IF(I127="Yes","DCTR-10","")</f>
        <v/>
      </c>
      <c r="C128" s="78" t="e">
        <f>VLOOKUP(B128,'HECVAT - Full'!A:E,2,FALSE)</f>
        <v>#N/A</v>
      </c>
      <c r="D128" s="71" t="e">
        <f>VLOOKUP(B128,'HECVAT - Full'!A:E,4,FALSE)</f>
        <v>#N/A</v>
      </c>
      <c r="E128" s="79" t="b">
        <f>IF(Table1[[#This Row],[Column11]]&gt;20,TRUE,FALSE)</f>
        <v>1</v>
      </c>
      <c r="F128" s="79" t="s">
        <v>2034</v>
      </c>
      <c r="G128" s="80" t="s">
        <v>19</v>
      </c>
      <c r="H128" s="81">
        <f>IF(I127="Yes",1,0)</f>
        <v>0</v>
      </c>
      <c r="I128" s="71" t="e">
        <f>VLOOKUP(B128,'HECVAT - Full'!A:E,3,FALSE)</f>
        <v>#N/A</v>
      </c>
      <c r="J128" s="71" t="e">
        <f>IF(VLOOKUP(Table1[[#This Row],[Column2]],'Analyst Report'!$A$41:$G$88,7,FALSE)="Yes",1,0)</f>
        <v>#N/A</v>
      </c>
      <c r="K128" s="71" t="str">
        <f>IF(Table1[[#This Row],[Column8]]=1,20,"")</f>
        <v/>
      </c>
      <c r="L128" s="71" t="str">
        <f>IF(Table1[[#This Row],[Column8]]=1,J128*K128,"")</f>
        <v/>
      </c>
      <c r="M128" s="72" t="e">
        <f>VLOOKUP($B128,'Standards Crosswalk'!$A:$H,3,FALSE)</f>
        <v>#N/A</v>
      </c>
      <c r="N128" s="72" t="e">
        <f>VLOOKUP($B128,'Standards Crosswalk'!$A:$H,4,FALSE)</f>
        <v>#N/A</v>
      </c>
      <c r="O128" s="72" t="e">
        <f>VLOOKUP($B128,'Standards Crosswalk'!$A:$H,5,FALSE)</f>
        <v>#N/A</v>
      </c>
      <c r="P128" s="72" t="e">
        <f>VLOOKUP($B128,'Standards Crosswalk'!$A:$H,6,FALSE)</f>
        <v>#N/A</v>
      </c>
      <c r="Q128" s="72" t="e">
        <f>VLOOKUP($B128,'Standards Crosswalk'!$A:$H,7,FALSE)</f>
        <v>#N/A</v>
      </c>
      <c r="R128" s="72" t="e">
        <f>VLOOKUP($B128,'Standards Crosswalk'!$A:$H,8,FALSE)</f>
        <v>#N/A</v>
      </c>
      <c r="S128" s="72" t="e">
        <f>VLOOKUP($B128,'Standards Crosswalk'!$A:$I,9,FALSE)</f>
        <v>#N/A</v>
      </c>
    </row>
    <row r="129" spans="1:19" ht="409.6" thickBot="1" x14ac:dyDescent="0.2">
      <c r="A129" s="71">
        <f t="shared" si="4"/>
        <v>127</v>
      </c>
      <c r="B129" s="77" t="s">
        <v>293</v>
      </c>
      <c r="C129" s="78" t="str">
        <f>VLOOKUP(B129,'HECVAT - Full'!A:E,2,FALSE)</f>
        <v>Are your primary and secondary data centers geographically diverse?</v>
      </c>
      <c r="D129" s="71" t="str">
        <f>VLOOKUP(B129,'HECVAT - Full'!A:E,4,FALSE)</f>
        <v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v>
      </c>
      <c r="E129" s="79" t="b">
        <f>IF(Table1[[#This Row],[Column11]]&gt;20,TRUE,FALSE)</f>
        <v>0</v>
      </c>
      <c r="F129" s="79" t="s">
        <v>2034</v>
      </c>
      <c r="G129" s="80" t="s">
        <v>16</v>
      </c>
      <c r="H129" s="81">
        <v>1</v>
      </c>
      <c r="I129" s="71" t="str">
        <f>VLOOKUP(B129,'HECVAT - Full'!A:E,3,FALSE)</f>
        <v>Yes</v>
      </c>
      <c r="J129" s="71">
        <f>IF(Table1[[#This Row],[Column7]]=Table1[[#This Row],[Column9]],1,0)</f>
        <v>1</v>
      </c>
      <c r="K129" s="71">
        <f>IF(Table1[[#This Row],[Column8]]=1,20,"")</f>
        <v>20</v>
      </c>
      <c r="L129" s="71">
        <f>IF(Table1[[#This Row],[Column8]]=1,J129*K129,"")</f>
        <v>20</v>
      </c>
      <c r="M129" s="72" t="str">
        <f>VLOOKUP($B129,'Standards Crosswalk'!$A:$H,3,FALSE)</f>
        <v>CSC 10</v>
      </c>
      <c r="N129" s="72">
        <f>VLOOKUP($B129,'Standards Crosswalk'!$A:$H,4,FALSE)</f>
        <v>0</v>
      </c>
      <c r="O129" s="72" t="str">
        <f>VLOOKUP($B129,'Standards Crosswalk'!$A:$H,5,FALSE)</f>
        <v>11.1.4</v>
      </c>
      <c r="P129" s="72">
        <f>VLOOKUP($B129,'Standards Crosswalk'!$A:$H,6,FALSE)</f>
        <v>0</v>
      </c>
      <c r="Q129" s="72">
        <f>VLOOKUP($B129,'Standards Crosswalk'!$A:$H,7,FALSE)</f>
        <v>0</v>
      </c>
      <c r="R129" s="72">
        <f>VLOOKUP($B129,'Standards Crosswalk'!$A:$H,8,FALSE)</f>
        <v>0</v>
      </c>
      <c r="S129" s="72">
        <f>VLOOKUP($B129,'Standards Crosswalk'!$A:$I,9,FALSE)</f>
        <v>12.8</v>
      </c>
    </row>
    <row r="130" spans="1:19" ht="315" thickBot="1" x14ac:dyDescent="0.2">
      <c r="A130" s="71">
        <f t="shared" si="4"/>
        <v>128</v>
      </c>
      <c r="B130" s="77" t="s">
        <v>294</v>
      </c>
      <c r="C130" s="78" t="str">
        <f>VLOOKUP(B130,'HECVAT - Full'!A:E,2,FALSE)</f>
        <v>If outsourced or co-located, is there a contract in place to prevent data from leaving the Institution's Data Zone?</v>
      </c>
      <c r="D130" s="71" t="str">
        <f>VLOOKUP(B130,'HECVAT - Full'!A:E,4,FALSE)</f>
        <v>AWS guarantees that the data remains in the United States both at rest and while being transferred between regions.</v>
      </c>
      <c r="E130" s="79" t="b">
        <f>IF(Table1[[#This Row],[Column11]]&gt;20,TRUE,FALSE)</f>
        <v>0</v>
      </c>
      <c r="F130" s="79" t="s">
        <v>2034</v>
      </c>
      <c r="G130" s="80" t="s">
        <v>16</v>
      </c>
      <c r="H130" s="81">
        <v>1</v>
      </c>
      <c r="I130" s="71" t="str">
        <f>VLOOKUP(B130,'HECVAT - Full'!A:E,3,FALSE)</f>
        <v>Yes</v>
      </c>
      <c r="J130" s="71">
        <f>IF(Table1[[#This Row],[Column7]]=Table1[[#This Row],[Column9]],1,0)</f>
        <v>1</v>
      </c>
      <c r="K130" s="71">
        <f>IF(Table1[[#This Row],[Column8]]=1,20,"")</f>
        <v>20</v>
      </c>
      <c r="L130" s="71">
        <f>IF(Table1[[#This Row],[Column8]]=1,J130*K130,"")</f>
        <v>20</v>
      </c>
      <c r="M130" s="72" t="str">
        <f>VLOOKUP($B130,'Standards Crosswalk'!$A:$H,3,FALSE)</f>
        <v>CSC 12</v>
      </c>
      <c r="N130" s="72">
        <f>VLOOKUP($B130,'Standards Crosswalk'!$A:$H,4,FALSE)</f>
        <v>0</v>
      </c>
      <c r="O130" s="72" t="str">
        <f>VLOOKUP($B130,'Standards Crosswalk'!$A:$H,5,FALSE)</f>
        <v>18.1.1</v>
      </c>
      <c r="P130" s="72">
        <f>VLOOKUP($B130,'Standards Crosswalk'!$A:$H,6,FALSE)</f>
        <v>0</v>
      </c>
      <c r="Q130" s="72">
        <f>VLOOKUP($B130,'Standards Crosswalk'!$A:$H,7,FALSE)</f>
        <v>0</v>
      </c>
      <c r="R130" s="72">
        <f>VLOOKUP($B130,'Standards Crosswalk'!$A:$H,8,FALSE)</f>
        <v>0</v>
      </c>
      <c r="S130" s="72">
        <f>VLOOKUP($B130,'Standards Crosswalk'!$A:$I,9,FALSE)</f>
        <v>12.8</v>
      </c>
    </row>
    <row r="131" spans="1:19" ht="196" thickBot="1" x14ac:dyDescent="0.2">
      <c r="A131" s="71">
        <f t="shared" si="4"/>
        <v>129</v>
      </c>
      <c r="B131" s="77" t="s">
        <v>295</v>
      </c>
      <c r="C131" s="78" t="str">
        <f>VLOOKUP(B131,'HECVAT - Full'!A:E,2,FALSE)</f>
        <v>What Tier Level is your data center (per levels defined by the Uptime Institute)?</v>
      </c>
      <c r="D131" s="71" t="str">
        <f>VLOOKUP(B131,'HECVAT - Full'!A:E,4,FALSE)</f>
        <v>For more information see https://aws.amazon.com/compliance/uptimeinstitute/</v>
      </c>
      <c r="E131" s="79" t="b">
        <f>IF(Table1[[#This Row],[Column11]]&gt;20,TRUE,FALSE)</f>
        <v>0</v>
      </c>
      <c r="F131" s="79" t="s">
        <v>2034</v>
      </c>
      <c r="G131" s="80" t="s">
        <v>16</v>
      </c>
      <c r="H131" s="81">
        <v>1</v>
      </c>
      <c r="I131" s="71" t="str">
        <f>VLOOKUP(B131,'HECVAT - Full'!A:E,3,FALSE)</f>
        <v>Tier III</v>
      </c>
      <c r="J131" s="71">
        <f>IF(VLOOKUP(Table1[[#This Row],[Column2]],'Analyst Report'!$A$41:$G$88,7,FALSE)="Yes",1,0)</f>
        <v>0</v>
      </c>
      <c r="K131" s="71">
        <f>IF(Table1[[#This Row],[Column8]]=1,15,"")</f>
        <v>15</v>
      </c>
      <c r="L131" s="71">
        <f>IF(Table1[[#This Row],[Column8]]=1,J131*K131,"")</f>
        <v>0</v>
      </c>
      <c r="M131" s="72">
        <f>VLOOKUP($B131,'Standards Crosswalk'!$A:$H,3,FALSE)</f>
        <v>0</v>
      </c>
      <c r="N131" s="72">
        <f>VLOOKUP($B131,'Standards Crosswalk'!$A:$H,4,FALSE)</f>
        <v>0</v>
      </c>
      <c r="O131" s="72" t="str">
        <f>VLOOKUP($B131,'Standards Crosswalk'!$A:$H,5,FALSE)</f>
        <v>17.1.1</v>
      </c>
      <c r="P131" s="72">
        <f>VLOOKUP($B131,'Standards Crosswalk'!$A:$H,6,FALSE)</f>
        <v>0</v>
      </c>
      <c r="Q131" s="72">
        <f>VLOOKUP($B131,'Standards Crosswalk'!$A:$H,7,FALSE)</f>
        <v>0</v>
      </c>
      <c r="R131" s="72">
        <f>VLOOKUP($B131,'Standards Crosswalk'!$A:$H,8,FALSE)</f>
        <v>0</v>
      </c>
      <c r="S131" s="72">
        <f>VLOOKUP($B131,'Standards Crosswalk'!$A:$I,9,FALSE)</f>
        <v>0</v>
      </c>
    </row>
    <row r="132" spans="1:19" ht="409.6" thickBot="1" x14ac:dyDescent="0.2">
      <c r="A132" s="71">
        <f t="shared" ref="A132:A195" si="5">A131+1</f>
        <v>130</v>
      </c>
      <c r="B132" s="77" t="s">
        <v>296</v>
      </c>
      <c r="C132" s="78" t="str">
        <f>VLOOKUP(B132,'HECVAT - Full'!A:E,2,FALSE)</f>
        <v>Is the service hosted in a high availability environment?</v>
      </c>
      <c r="D132" s="71" t="str">
        <f>VLOOKUP(B132,'HECVAT - Full'!A:E,4,FALSE)</f>
        <v>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v>
      </c>
      <c r="E132" s="79" t="b">
        <f>IF(Table1[[#This Row],[Column11]]&gt;20,TRUE,FALSE)</f>
        <v>0</v>
      </c>
      <c r="F132" s="79" t="s">
        <v>2034</v>
      </c>
      <c r="G132" s="80" t="s">
        <v>16</v>
      </c>
      <c r="H132" s="81">
        <v>1</v>
      </c>
      <c r="I132" s="71" t="str">
        <f>VLOOKUP(B132,'HECVAT - Full'!A:E,3,FALSE)</f>
        <v>Yes</v>
      </c>
      <c r="J132" s="71">
        <f>IF(Table1[[#This Row],[Column7]]=Table1[[#This Row],[Column9]],1,0)</f>
        <v>1</v>
      </c>
      <c r="K132" s="71">
        <f>IF(Table1[[#This Row],[Column8]]=1,20,"")</f>
        <v>20</v>
      </c>
      <c r="L132" s="71">
        <f>IF(Table1[[#This Row],[Column8]]=1,J132*K132,"")</f>
        <v>20</v>
      </c>
      <c r="M132" s="72" t="str">
        <f>VLOOKUP($B132,'Standards Crosswalk'!$A:$H,3,FALSE)</f>
        <v>CSC 10</v>
      </c>
      <c r="N132" s="72">
        <f>VLOOKUP($B132,'Standards Crosswalk'!$A:$H,4,FALSE)</f>
        <v>0</v>
      </c>
      <c r="O132" s="72" t="str">
        <f>VLOOKUP($B132,'Standards Crosswalk'!$A:$H,5,FALSE)</f>
        <v>17.1.1</v>
      </c>
      <c r="P132" s="72" t="str">
        <f>VLOOKUP($B132,'Standards Crosswalk'!$A:$H,6,FALSE)</f>
        <v>PR.DS-4</v>
      </c>
      <c r="Q132" s="72">
        <f>VLOOKUP($B132,'Standards Crosswalk'!$A:$H,7,FALSE)</f>
        <v>0</v>
      </c>
      <c r="R132" s="72">
        <f>VLOOKUP($B132,'Standards Crosswalk'!$A:$H,8,FALSE)</f>
        <v>0</v>
      </c>
      <c r="S132" s="72">
        <f>VLOOKUP($B132,'Standards Crosswalk'!$A:$I,9,FALSE)</f>
        <v>0</v>
      </c>
    </row>
    <row r="133" spans="1:19" ht="46" thickBot="1" x14ac:dyDescent="0.2">
      <c r="A133" s="71">
        <f t="shared" si="5"/>
        <v>131</v>
      </c>
      <c r="B133" s="77" t="s">
        <v>297</v>
      </c>
      <c r="C133" s="78" t="str">
        <f>VLOOKUP(B133,'HECVAT - Full'!A:E,2,FALSE)</f>
        <v xml:space="preserve">Is redundant power available for all datacenters where institution data will reside? </v>
      </c>
      <c r="D133" s="71" t="str">
        <f>VLOOKUP(B133,'HECVAT - Full'!A:E,4,FALSE)</f>
        <v xml:space="preserve">Provided by AWS </v>
      </c>
      <c r="E133" s="79" t="b">
        <f>IF(Table1[[#This Row],[Column11]]&gt;20,TRUE,FALSE)</f>
        <v>0</v>
      </c>
      <c r="F133" s="79" t="s">
        <v>2034</v>
      </c>
      <c r="G133" s="80" t="s">
        <v>16</v>
      </c>
      <c r="H133" s="81">
        <v>1</v>
      </c>
      <c r="I133" s="71" t="str">
        <f>VLOOKUP(B133,'HECVAT - Full'!A:E,3,FALSE)</f>
        <v>Yes</v>
      </c>
      <c r="J133" s="71">
        <f>IF(Table1[[#This Row],[Column7]]=Table1[[#This Row],[Column9]],1,0)</f>
        <v>1</v>
      </c>
      <c r="K133" s="71">
        <f>IF(Table1[[#This Row],[Column8]]=1,20,"")</f>
        <v>20</v>
      </c>
      <c r="L133" s="71">
        <f>IF(Table1[[#This Row],[Column8]]=1,J133*K133,"")</f>
        <v>20</v>
      </c>
      <c r="M133" s="72">
        <f>VLOOKUP($B133,'Standards Crosswalk'!$A:$H,3,FALSE)</f>
        <v>0</v>
      </c>
      <c r="N133" s="72">
        <f>VLOOKUP($B133,'Standards Crosswalk'!$A:$H,4,FALSE)</f>
        <v>0</v>
      </c>
      <c r="O133" s="72" t="str">
        <f>VLOOKUP($B133,'Standards Crosswalk'!$A:$H,5,FALSE)</f>
        <v>17.2.1</v>
      </c>
      <c r="P133" s="72" t="str">
        <f>VLOOKUP($B133,'Standards Crosswalk'!$A:$H,6,FALSE)</f>
        <v>PR.DS-4</v>
      </c>
      <c r="Q133" s="72">
        <f>VLOOKUP($B133,'Standards Crosswalk'!$A:$H,7,FALSE)</f>
        <v>0</v>
      </c>
      <c r="R133" s="72">
        <f>VLOOKUP($B133,'Standards Crosswalk'!$A:$H,8,FALSE)</f>
        <v>0</v>
      </c>
      <c r="S133" s="72">
        <f>VLOOKUP($B133,'Standards Crosswalk'!$A:$I,9,FALSE)</f>
        <v>0</v>
      </c>
    </row>
    <row r="134" spans="1:19" ht="46" thickBot="1" x14ac:dyDescent="0.2">
      <c r="A134" s="71">
        <f t="shared" si="5"/>
        <v>132</v>
      </c>
      <c r="B134" s="95" t="s">
        <v>298</v>
      </c>
      <c r="C134" s="78" t="str">
        <f>VLOOKUP(B134,'HECVAT - Full'!A:E,2,FALSE)</f>
        <v>Are redundant power strategies tested?</v>
      </c>
      <c r="D134" s="71" t="str">
        <f>VLOOKUP(B134,'HECVAT - Full'!A:E,4,FALSE)</f>
        <v xml:space="preserve">Provided by AWS </v>
      </c>
      <c r="E134" s="79" t="b">
        <f>IF(Table1[[#This Row],[Column11]]&gt;20,TRUE,FALSE)</f>
        <v>0</v>
      </c>
      <c r="F134" s="79" t="s">
        <v>2034</v>
      </c>
      <c r="G134" s="80" t="s">
        <v>16</v>
      </c>
      <c r="H134" s="81">
        <f>IF(I133="Yes",1,0)</f>
        <v>1</v>
      </c>
      <c r="I134" s="71" t="str">
        <f>VLOOKUP(B134,'HECVAT - Full'!A:E,3,FALSE)</f>
        <v>Yes</v>
      </c>
      <c r="J134" s="71">
        <f>IF(Table1[[#This Row],[Column7]]=Table1[[#This Row],[Column9]],1,0)</f>
        <v>1</v>
      </c>
      <c r="K134" s="71">
        <f>IF(Table1[[#This Row],[Column8]]=1,20,"")</f>
        <v>20</v>
      </c>
      <c r="L134" s="71">
        <f>IF(Table1[[#This Row],[Column8]]=1,J134*K134,"")</f>
        <v>20</v>
      </c>
      <c r="M134" s="72">
        <f>VLOOKUP($B134,'Standards Crosswalk'!$A:$H,3,FALSE)</f>
        <v>0</v>
      </c>
      <c r="N134" s="72">
        <f>VLOOKUP($B134,'Standards Crosswalk'!$A:$H,4,FALSE)</f>
        <v>0</v>
      </c>
      <c r="O134" s="72" t="str">
        <f>VLOOKUP($B134,'Standards Crosswalk'!$A:$H,5,FALSE)</f>
        <v>17.1.3</v>
      </c>
      <c r="P134" s="72" t="str">
        <f>VLOOKUP($B134,'Standards Crosswalk'!$A:$H,6,FALSE)</f>
        <v>PR.DS-4</v>
      </c>
      <c r="Q134" s="72">
        <f>VLOOKUP($B134,'Standards Crosswalk'!$A:$H,7,FALSE)</f>
        <v>0</v>
      </c>
      <c r="R134" s="72">
        <f>VLOOKUP($B134,'Standards Crosswalk'!$A:$H,8,FALSE)</f>
        <v>0</v>
      </c>
      <c r="S134" s="72">
        <f>VLOOKUP($B134,'Standards Crosswalk'!$A:$I,9,FALSE)</f>
        <v>0</v>
      </c>
    </row>
    <row r="135" spans="1:19" ht="301" thickBot="1" x14ac:dyDescent="0.2">
      <c r="A135" s="71">
        <f t="shared" si="5"/>
        <v>133</v>
      </c>
      <c r="B135" s="77" t="s">
        <v>299</v>
      </c>
      <c r="C135" s="78" t="str">
        <f>VLOOKUP(B135,'HECVAT - Full'!A:E,2,FALSE)</f>
        <v>Describe or provide a reference to the availability of cooling and fire suppression systems in all datacenters where institution data will reside.</v>
      </c>
      <c r="D135" s="71">
        <f>VLOOKUP(B135,'HECVAT - Full'!A:E,4,FALSE)</f>
        <v>0</v>
      </c>
      <c r="E135" s="79" t="b">
        <f>IF(Table1[[#This Row],[Column11]]&gt;20,TRUE,FALSE)</f>
        <v>0</v>
      </c>
      <c r="F135" s="79" t="s">
        <v>2034</v>
      </c>
      <c r="G135" s="80" t="s">
        <v>16</v>
      </c>
      <c r="H135" s="81">
        <v>1</v>
      </c>
      <c r="I135" s="71" t="str">
        <f>VLOOKUP(B135,'HECVAT - Full'!A:E,3,FALSE)</f>
        <v>Please see https://aws.amazon.com/compliance/data-center/controls/</v>
      </c>
      <c r="J135" s="71">
        <f>IF(VLOOKUP(B135,'Analyst Report'!$A$41:$H$88,7,FALSE)="Yes",1,0)</f>
        <v>0</v>
      </c>
      <c r="K135" s="71">
        <f>IF(Table1[[#This Row],[Column8]]=1,20,"")</f>
        <v>20</v>
      </c>
      <c r="L135" s="71">
        <f>IF(Table1[[#This Row],[Column8]]=1,J135*K135,"")</f>
        <v>0</v>
      </c>
      <c r="M135" s="72">
        <f>VLOOKUP($B135,'Standards Crosswalk'!$A:$H,3,FALSE)</f>
        <v>0</v>
      </c>
      <c r="N135" s="72">
        <f>VLOOKUP($B135,'Standards Crosswalk'!$A:$H,4,FALSE)</f>
        <v>0</v>
      </c>
      <c r="O135" s="72" t="str">
        <f>VLOOKUP($B135,'Standards Crosswalk'!$A:$H,5,FALSE)</f>
        <v>17.2.1</v>
      </c>
      <c r="P135" s="72">
        <f>VLOOKUP($B135,'Standards Crosswalk'!$A:$H,6,FALSE)</f>
        <v>0</v>
      </c>
      <c r="Q135" s="72">
        <f>VLOOKUP($B135,'Standards Crosswalk'!$A:$H,7,FALSE)</f>
        <v>0</v>
      </c>
      <c r="R135" s="72" t="str">
        <f>VLOOKUP($B135,'Standards Crosswalk'!$A:$H,8,FALSE)</f>
        <v>PE-2, PE-3, PE-5, PE-11, PE-13, PE-14</v>
      </c>
      <c r="S135" s="72">
        <f>VLOOKUP($B135,'Standards Crosswalk'!$A:$I,9,FALSE)</f>
        <v>0</v>
      </c>
    </row>
    <row r="136" spans="1:19" ht="301" thickBot="1" x14ac:dyDescent="0.2">
      <c r="A136" s="71">
        <f t="shared" si="5"/>
        <v>134</v>
      </c>
      <c r="B136" s="77" t="s">
        <v>300</v>
      </c>
      <c r="C136" s="78" t="str">
        <f>VLOOKUP(B136,'HECVAT - Full'!A:E,2,FALSE)</f>
        <v xml:space="preserve">State how many Internet Service Providers (ISPs) provide connectivity to each datacenter where the institution's data will reside. </v>
      </c>
      <c r="D136" s="71">
        <f>VLOOKUP(B136,'HECVAT - Full'!A:E,4,FALSE)</f>
        <v>0</v>
      </c>
      <c r="E136" s="79" t="b">
        <f>IF(Table1[[#This Row],[Column11]]&gt;20,TRUE,FALSE)</f>
        <v>0</v>
      </c>
      <c r="F136" s="79" t="s">
        <v>2034</v>
      </c>
      <c r="G136" s="80" t="s">
        <v>16</v>
      </c>
      <c r="H136" s="81">
        <v>1</v>
      </c>
      <c r="I136" s="71" t="str">
        <f>VLOOKUP(B136,'HECVAT - Full'!A:E,3,FALSE)</f>
        <v>Please see https://aws.amazon.com/compliance/data-center/controls/</v>
      </c>
      <c r="J136" s="71">
        <f>IF(VLOOKUP(B136,'Analyst Report'!$A$41:$H$88,7,FALSE)="Yes",1,0)</f>
        <v>0</v>
      </c>
      <c r="K136" s="71">
        <f>IF(Table1[[#This Row],[Column8]]=1,20,"")</f>
        <v>20</v>
      </c>
      <c r="L136" s="71">
        <f>IF(Table1[[#This Row],[Column8]]=1,J136*K136,"")</f>
        <v>0</v>
      </c>
      <c r="M136" s="72" t="str">
        <f>VLOOKUP($B136,'Standards Crosswalk'!$A:$H,3,FALSE)</f>
        <v>CSC 10</v>
      </c>
      <c r="N136" s="72">
        <f>VLOOKUP($B136,'Standards Crosswalk'!$A:$H,4,FALSE)</f>
        <v>0</v>
      </c>
      <c r="O136" s="72" t="str">
        <f>VLOOKUP($B136,'Standards Crosswalk'!$A:$H,5,FALSE)</f>
        <v>17.2.1</v>
      </c>
      <c r="P136" s="72" t="str">
        <f>VLOOKUP($B136,'Standards Crosswalk'!$A:$H,6,FALSE)</f>
        <v>PR.DS-4</v>
      </c>
      <c r="Q136" s="72">
        <f>VLOOKUP($B136,'Standards Crosswalk'!$A:$H,7,FALSE)</f>
        <v>0</v>
      </c>
      <c r="R136" s="72" t="str">
        <f>VLOOKUP($B136,'Standards Crosswalk'!$A:$H,8,FALSE)</f>
        <v>PE-2, PE-3, PE-5, PE-11, PE-13, PE-14</v>
      </c>
      <c r="S136" s="72">
        <f>VLOOKUP($B136,'Standards Crosswalk'!$A:$I,9,FALSE)</f>
        <v>12.8</v>
      </c>
    </row>
    <row r="137" spans="1:19" ht="166" thickBot="1" x14ac:dyDescent="0.2">
      <c r="A137" s="71">
        <f t="shared" si="5"/>
        <v>135</v>
      </c>
      <c r="B137" s="77" t="s">
        <v>301</v>
      </c>
      <c r="C137" s="78" t="str">
        <f>VLOOKUP(B137,'HECVAT - Full'!A:E,2,FALSE)</f>
        <v>Does every datacenter where the Institution's data will reside have multiple telephone company or network provider entrances to the facility?</v>
      </c>
      <c r="D137" s="71" t="str">
        <f>VLOOKUP(B137,'HECVAT - Full'!A:E,4,FALSE)</f>
        <v>Please see https://aws.amazon.com/compliance/data-center/controls/</v>
      </c>
      <c r="E137" s="79" t="b">
        <f>IF(Table1[[#This Row],[Column11]]&gt;20,TRUE,FALSE)</f>
        <v>0</v>
      </c>
      <c r="F137" s="79" t="s">
        <v>2034</v>
      </c>
      <c r="G137" s="80" t="s">
        <v>16</v>
      </c>
      <c r="H137" s="81">
        <v>1</v>
      </c>
      <c r="I137" s="71" t="str">
        <f>VLOOKUP(B137,'HECVAT - Full'!A:E,3,FALSE)</f>
        <v>Yes</v>
      </c>
      <c r="J137" s="71">
        <f>IF(Table1[[#This Row],[Column7]]=Table1[[#This Row],[Column9]],1,0)</f>
        <v>1</v>
      </c>
      <c r="K137" s="71">
        <f>IF(Table1[[#This Row],[Column8]]=1,20,"")</f>
        <v>20</v>
      </c>
      <c r="L137" s="71">
        <f>IF(Table1[[#This Row],[Column8]]=1,J137*K137,"")</f>
        <v>20</v>
      </c>
      <c r="M137" s="72" t="str">
        <f>VLOOKUP($B137,'Standards Crosswalk'!$A:$H,3,FALSE)</f>
        <v>CSC 13</v>
      </c>
      <c r="N137" s="72">
        <f>VLOOKUP($B137,'Standards Crosswalk'!$A:$H,4,FALSE)</f>
        <v>0</v>
      </c>
      <c r="O137" s="72" t="str">
        <f>VLOOKUP($B137,'Standards Crosswalk'!$A:$H,5,FALSE)</f>
        <v>17.2.1</v>
      </c>
      <c r="P137" s="72" t="str">
        <f>VLOOKUP($B137,'Standards Crosswalk'!$A:$H,6,FALSE)</f>
        <v>PR.DS-4</v>
      </c>
      <c r="Q137" s="72">
        <f>VLOOKUP($B137,'Standards Crosswalk'!$A:$H,7,FALSE)</f>
        <v>0</v>
      </c>
      <c r="R137" s="72" t="str">
        <f>VLOOKUP($B137,'Standards Crosswalk'!$A:$H,8,FALSE)</f>
        <v>PE-2, PE-3, PE-5, PE-11, PE-13, PE-14</v>
      </c>
      <c r="S137" s="72">
        <f>VLOOKUP($B137,'Standards Crosswalk'!$A:$I,9,FALSE)</f>
        <v>12.8</v>
      </c>
    </row>
    <row r="138" spans="1:19" ht="286" thickBot="1" x14ac:dyDescent="0.2">
      <c r="A138" s="71">
        <f t="shared" si="5"/>
        <v>136</v>
      </c>
      <c r="B138" s="77" t="s">
        <v>302</v>
      </c>
      <c r="C138" s="78" t="str">
        <f>VLOOKUP(B138,'HECVAT - Full'!A:E,2,FALSE)</f>
        <v>Describe or provide a reference to your Disaster Recovery Plan (DRP).</v>
      </c>
      <c r="D138" s="71">
        <f>VLOOKUP(B138,'HECVAT - Full'!A:E,4,FALSE)</f>
        <v>0</v>
      </c>
      <c r="E138" s="79" t="b">
        <f>IF(Table1[[#This Row],[Column11]]&gt;20,TRUE,FALSE)</f>
        <v>1</v>
      </c>
      <c r="F138" s="79" t="s">
        <v>2035</v>
      </c>
      <c r="G138" s="80" t="s">
        <v>16</v>
      </c>
      <c r="H138" s="81">
        <v>1</v>
      </c>
      <c r="I138" s="71" t="str">
        <f>VLOOKUP(B138,'HECVAT - Full'!A:E,3,FALSE)</f>
        <v>Please see the Business Continuity and Disaster Recovery Plan</v>
      </c>
      <c r="J138" s="71">
        <f>IF(VLOOKUP(B138,'Analyst Report'!$A$41:$H$88,7,FALSE)="Yes",1,0)</f>
        <v>0</v>
      </c>
      <c r="K138" s="71">
        <f>IF(Table1[[#This Row],[Column8]]=1,25,"")</f>
        <v>25</v>
      </c>
      <c r="L138" s="71">
        <f>IF(Table1[[#This Row],[Column8]]=1,J138*K138,"")</f>
        <v>0</v>
      </c>
      <c r="M138" s="72" t="str">
        <f>VLOOKUP($B138,'Standards Crosswalk'!$A:$H,3,FALSE)</f>
        <v>CSC 10</v>
      </c>
      <c r="N138" s="72">
        <f>VLOOKUP($B138,'Standards Crosswalk'!$A:$H,4,FALSE)</f>
        <v>0</v>
      </c>
      <c r="O138" s="72" t="str">
        <f>VLOOKUP($B138,'Standards Crosswalk'!$A:$H,5,FALSE)</f>
        <v>17.1.1</v>
      </c>
      <c r="P138" s="72" t="str">
        <f>VLOOKUP($B138,'Standards Crosswalk'!$A:$H,6,FALSE)</f>
        <v>PR.IP-9</v>
      </c>
      <c r="Q138" s="72" t="str">
        <f>VLOOKUP($B138,'Standards Crosswalk'!$A:$H,7,FALSE)</f>
        <v>3.12.2</v>
      </c>
      <c r="R138" s="72" t="str">
        <f>VLOOKUP($B138,'Standards Crosswalk'!$A:$H,8,FALSE)</f>
        <v>AC-5, CP-4, CP-10; NIST SP 800-34</v>
      </c>
      <c r="S138" s="72">
        <f>VLOOKUP($B138,'Standards Crosswalk'!$A:$I,9,FALSE)</f>
        <v>12.8</v>
      </c>
    </row>
    <row r="139" spans="1:19" ht="91" thickBot="1" x14ac:dyDescent="0.2">
      <c r="A139" s="71">
        <f t="shared" si="5"/>
        <v>137</v>
      </c>
      <c r="B139" s="77" t="s">
        <v>303</v>
      </c>
      <c r="C139" s="78" t="str">
        <f>VLOOKUP(B139,'HECVAT - Full'!A:E,2,FALSE)</f>
        <v>Is an owner assigned who is responsible for the maintenance and review of the DRP?</v>
      </c>
      <c r="D139" s="71" t="str">
        <f>VLOOKUP(B139,'HECVAT - Full'!A:E,4,FALSE)</f>
        <v>Ben Dolman, CTO, Hit Labs, Inc.</v>
      </c>
      <c r="E139" s="79" t="b">
        <f>IF(Table1[[#This Row],[Column11]]&gt;20,TRUE,FALSE)</f>
        <v>0</v>
      </c>
      <c r="F139" s="79" t="s">
        <v>2035</v>
      </c>
      <c r="G139" s="80" t="s">
        <v>16</v>
      </c>
      <c r="H139" s="81">
        <v>1</v>
      </c>
      <c r="I139" s="71" t="str">
        <f>VLOOKUP(B139,'HECVAT - Full'!A:E,3,FALSE)</f>
        <v>Yes</v>
      </c>
      <c r="J139" s="71">
        <f>IF(Table1[[#This Row],[Column7]]=Table1[[#This Row],[Column9]],1,0)</f>
        <v>1</v>
      </c>
      <c r="K139" s="71">
        <f>IF(Table1[[#This Row],[Column8]]=1,20,"")</f>
        <v>20</v>
      </c>
      <c r="L139" s="71">
        <f>IF(Table1[[#This Row],[Column8]]=1,J139*K139,"")</f>
        <v>20</v>
      </c>
      <c r="M139" s="72" t="str">
        <f>VLOOKUP($B139,'Standards Crosswalk'!$A:$H,3,FALSE)</f>
        <v>CSC 10</v>
      </c>
      <c r="N139" s="72">
        <f>VLOOKUP($B139,'Standards Crosswalk'!$A:$H,4,FALSE)</f>
        <v>0</v>
      </c>
      <c r="O139" s="72" t="str">
        <f>VLOOKUP($B139,'Standards Crosswalk'!$A:$H,5,FALSE)</f>
        <v>16.1.1, 17.1.1</v>
      </c>
      <c r="P139" s="72" t="str">
        <f>VLOOKUP($B139,'Standards Crosswalk'!$A:$H,6,FALSE)</f>
        <v>PR.IP-9</v>
      </c>
      <c r="Q139" s="72" t="str">
        <f>VLOOKUP($B139,'Standards Crosswalk'!$A:$H,7,FALSE)</f>
        <v>3.12.2</v>
      </c>
      <c r="R139" s="72" t="str">
        <f>VLOOKUP($B139,'Standards Crosswalk'!$A:$H,8,FALSE)</f>
        <v>AC-5, CP-4, CP-10; NIST SP 800-34</v>
      </c>
      <c r="S139" s="72">
        <f>VLOOKUP($B139,'Standards Crosswalk'!$A:$I,9,FALSE)</f>
        <v>12.8</v>
      </c>
    </row>
    <row r="140" spans="1:19" ht="166" thickBot="1" x14ac:dyDescent="0.2">
      <c r="A140" s="71">
        <f t="shared" si="5"/>
        <v>138</v>
      </c>
      <c r="B140" s="77" t="s">
        <v>304</v>
      </c>
      <c r="C140" s="78" t="str">
        <f>VLOOKUP(B140,'HECVAT - Full'!A:E,2,FALSE)</f>
        <v>Can the Institution review your DRP and supporting documentation?</v>
      </c>
      <c r="D140" s="71" t="str">
        <f>VLOOKUP(B140,'HECVAT - Full'!A:E,4,FALSE)</f>
        <v xml:space="preserve">Please see the Business Continuity and Disaster Recovery Plan	</v>
      </c>
      <c r="E140" s="79" t="b">
        <f>IF(Table1[[#This Row],[Column11]]&gt;20,TRUE,FALSE)</f>
        <v>0</v>
      </c>
      <c r="F140" s="79" t="s">
        <v>2035</v>
      </c>
      <c r="G140" s="80" t="s">
        <v>16</v>
      </c>
      <c r="H140" s="81">
        <v>1</v>
      </c>
      <c r="I140" s="71" t="str">
        <f>VLOOKUP(B140,'HECVAT - Full'!A:E,3,FALSE)</f>
        <v>Yes</v>
      </c>
      <c r="J140" s="71">
        <f>IF(Table1[[#This Row],[Column7]]=Table1[[#This Row],[Column9]],1,0)</f>
        <v>1</v>
      </c>
      <c r="K140" s="71">
        <f>IF(Table1[[#This Row],[Column8]]=1,20,"")</f>
        <v>20</v>
      </c>
      <c r="L140" s="71">
        <f>IF(Table1[[#This Row],[Column8]]=1,J140*K140,"")</f>
        <v>20</v>
      </c>
      <c r="M140" s="72" t="str">
        <f>VLOOKUP($B140,'Standards Crosswalk'!$A:$H,3,FALSE)</f>
        <v>CSC 10</v>
      </c>
      <c r="N140" s="72">
        <f>VLOOKUP($B140,'Standards Crosswalk'!$A:$H,4,FALSE)</f>
        <v>0</v>
      </c>
      <c r="O140" s="72">
        <f>VLOOKUP($B140,'Standards Crosswalk'!$A:$H,5,FALSE)</f>
        <v>0</v>
      </c>
      <c r="P140" s="72" t="str">
        <f>VLOOKUP($B140,'Standards Crosswalk'!$A:$H,6,FALSE)</f>
        <v>PR.IP-9</v>
      </c>
      <c r="Q140" s="72" t="str">
        <f>VLOOKUP($B140,'Standards Crosswalk'!$A:$H,7,FALSE)</f>
        <v>3.12.2</v>
      </c>
      <c r="R140" s="72" t="str">
        <f>VLOOKUP($B140,'Standards Crosswalk'!$A:$H,8,FALSE)</f>
        <v>AC-5, CP-4, CP-10; NIST SP 800-34</v>
      </c>
      <c r="S140" s="72">
        <f>VLOOKUP($B140,'Standards Crosswalk'!$A:$I,9,FALSE)</f>
        <v>12.8</v>
      </c>
    </row>
    <row r="141" spans="1:19" ht="46" thickBot="1" x14ac:dyDescent="0.2">
      <c r="A141" s="71">
        <f t="shared" si="5"/>
        <v>139</v>
      </c>
      <c r="B141" s="77" t="s">
        <v>305</v>
      </c>
      <c r="C141" s="78" t="str">
        <f>VLOOKUP(B141,'HECVAT - Full'!A:E,2,FALSE)</f>
        <v>Are any disaster recovery locations outside the Institution's Data Zone?</v>
      </c>
      <c r="D141" s="71">
        <f>VLOOKUP(B141,'HECVAT - Full'!A:E,4,FALSE)</f>
        <v>0</v>
      </c>
      <c r="E141" s="79" t="b">
        <f>IF(Table1[[#This Row],[Column11]]&gt;20,TRUE,FALSE)</f>
        <v>0</v>
      </c>
      <c r="F141" s="79" t="s">
        <v>2035</v>
      </c>
      <c r="G141" s="80" t="s">
        <v>19</v>
      </c>
      <c r="H141" s="81">
        <v>1</v>
      </c>
      <c r="I141" s="71" t="str">
        <f>VLOOKUP(B141,'HECVAT - Full'!A:E,3,FALSE)</f>
        <v>No</v>
      </c>
      <c r="J141" s="71">
        <f>IF(Table1[[#This Row],[Column7]]=Table1[[#This Row],[Column9]],1,0)</f>
        <v>1</v>
      </c>
      <c r="K141" s="71">
        <f>IF(Table1[[#This Row],[Column8]]=1,20,"")</f>
        <v>20</v>
      </c>
      <c r="L141" s="71">
        <f>IF(Table1[[#This Row],[Column8]]=1,J141*K141,"")</f>
        <v>20</v>
      </c>
      <c r="M141" s="72" t="str">
        <f>VLOOKUP($B141,'Standards Crosswalk'!$A:$H,3,FALSE)</f>
        <v>CSC 10, CSC 12</v>
      </c>
      <c r="N141" s="72">
        <f>VLOOKUP($B141,'Standards Crosswalk'!$A:$H,4,FALSE)</f>
        <v>0</v>
      </c>
      <c r="O141" s="72" t="str">
        <f>VLOOKUP($B141,'Standards Crosswalk'!$A:$H,5,FALSE)</f>
        <v>17.1.1</v>
      </c>
      <c r="P141" s="72" t="str">
        <f>VLOOKUP($B141,'Standards Crosswalk'!$A:$H,6,FALSE)</f>
        <v>PR.IP-9</v>
      </c>
      <c r="Q141" s="72">
        <f>VLOOKUP($B141,'Standards Crosswalk'!$A:$H,7,FALSE)</f>
        <v>0</v>
      </c>
      <c r="R141" s="72" t="str">
        <f>VLOOKUP($B141,'Standards Crosswalk'!$A:$H,8,FALSE)</f>
        <v>AC-5, CP-4, CP-10; NIST SP 800-34</v>
      </c>
      <c r="S141" s="72">
        <f>VLOOKUP($B141,'Standards Crosswalk'!$A:$I,9,FALSE)</f>
        <v>12.8</v>
      </c>
    </row>
    <row r="142" spans="1:19" ht="409.6" thickBot="1" x14ac:dyDescent="0.2">
      <c r="A142" s="71">
        <f t="shared" si="5"/>
        <v>140</v>
      </c>
      <c r="B142" s="77" t="s">
        <v>306</v>
      </c>
      <c r="C142" s="78" t="str">
        <f>VLOOKUP(B142,'HECVAT - Full'!A:E,2,FALSE)</f>
        <v>Does your organization have a disaster recovery site or a contracted Disaster Recovery provider?</v>
      </c>
      <c r="D142" s="71" t="str">
        <f>VLOOKUP(B142,'HECVAT - Full'!A:E,4,FALSE)</f>
        <v>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v>
      </c>
      <c r="E142" s="79" t="b">
        <f>IF(Table1[[#This Row],[Column11]]&gt;20,TRUE,FALSE)</f>
        <v>0</v>
      </c>
      <c r="F142" s="79" t="s">
        <v>2035</v>
      </c>
      <c r="G142" s="80" t="s">
        <v>16</v>
      </c>
      <c r="H142" s="81">
        <v>1</v>
      </c>
      <c r="I142" s="71" t="str">
        <f>VLOOKUP(B142,'HECVAT - Full'!A:E,3,FALSE)</f>
        <v>Yes</v>
      </c>
      <c r="J142" s="71">
        <f>IF(Table1[[#This Row],[Column7]]=Table1[[#This Row],[Column9]],1,0)</f>
        <v>1</v>
      </c>
      <c r="K142" s="71">
        <f>IF(Table1[[#This Row],[Column8]]=1,20,"")</f>
        <v>20</v>
      </c>
      <c r="L142" s="71">
        <f>IF(Table1[[#This Row],[Column8]]=1,J142*K142,"")</f>
        <v>20</v>
      </c>
      <c r="M142" s="72" t="str">
        <f>VLOOKUP($B142,'Standards Crosswalk'!$A:$H,3,FALSE)</f>
        <v>CSC 10</v>
      </c>
      <c r="N142" s="72">
        <f>VLOOKUP($B142,'Standards Crosswalk'!$A:$H,4,FALSE)</f>
        <v>0</v>
      </c>
      <c r="O142" s="72" t="str">
        <f>VLOOKUP($B142,'Standards Crosswalk'!$A:$H,5,FALSE)</f>
        <v>17.2.1</v>
      </c>
      <c r="P142" s="72" t="str">
        <f>VLOOKUP($B142,'Standards Crosswalk'!$A:$H,6,FALSE)</f>
        <v>PR.IP-9</v>
      </c>
      <c r="Q142" s="72">
        <f>VLOOKUP($B142,'Standards Crosswalk'!$A:$H,7,FALSE)</f>
        <v>0</v>
      </c>
      <c r="R142" s="72" t="str">
        <f>VLOOKUP($B142,'Standards Crosswalk'!$A:$H,8,FALSE)</f>
        <v>AC-5, CP-4, CP-10; NIST SP 800-34</v>
      </c>
      <c r="S142" s="72">
        <f>VLOOKUP($B142,'Standards Crosswalk'!$A:$I,9,FALSE)</f>
        <v>0</v>
      </c>
    </row>
    <row r="143" spans="1:19" ht="136" thickBot="1" x14ac:dyDescent="0.2">
      <c r="A143" s="71">
        <f t="shared" si="5"/>
        <v>141</v>
      </c>
      <c r="B143" s="95" t="s">
        <v>307</v>
      </c>
      <c r="C143" s="78" t="str">
        <f>VLOOKUP(B143,'HECVAT - Full'!A:E,2,FALSE)</f>
        <v>Does your organization conduct an annual test of relocating to this site for disaster recovery purposes?</v>
      </c>
      <c r="D143" s="71" t="str">
        <f>VLOOKUP(B143,'HECVAT - Full'!A:E,4,FALSE)</f>
        <v>We plan to conduct a test in 2021 and yearly thereafter</v>
      </c>
      <c r="E143" s="79" t="b">
        <f>IF(Table1[[#This Row],[Column11]]&gt;20,TRUE,FALSE)</f>
        <v>0</v>
      </c>
      <c r="F143" s="79" t="s">
        <v>2035</v>
      </c>
      <c r="G143" s="80" t="s">
        <v>16</v>
      </c>
      <c r="H143" s="81">
        <f>IF(I142="Yes",1,0)</f>
        <v>1</v>
      </c>
      <c r="I143" s="71" t="str">
        <f>VLOOKUP(B143,'HECVAT - Full'!A:E,3,FALSE)</f>
        <v>No</v>
      </c>
      <c r="J143" s="71">
        <f>IF(Table1[[#This Row],[Column7]]=Table1[[#This Row],[Column9]],1,0)</f>
        <v>0</v>
      </c>
      <c r="K143" s="71">
        <f>IF(Table1[[#This Row],[Column8]]=1,20,"")</f>
        <v>20</v>
      </c>
      <c r="L143" s="71">
        <f>IF(Table1[[#This Row],[Column8]]=1,J143*K143,"")</f>
        <v>0</v>
      </c>
      <c r="M143" s="72" t="str">
        <f>VLOOKUP($B143,'Standards Crosswalk'!$A:$H,3,FALSE)</f>
        <v>CSC 10</v>
      </c>
      <c r="N143" s="72">
        <f>VLOOKUP($B143,'Standards Crosswalk'!$A:$H,4,FALSE)</f>
        <v>0</v>
      </c>
      <c r="O143" s="72" t="str">
        <f>VLOOKUP($B143,'Standards Crosswalk'!$A:$H,5,FALSE)</f>
        <v>17.1.3</v>
      </c>
      <c r="P143" s="72" t="str">
        <f>VLOOKUP($B143,'Standards Crosswalk'!$A:$H,6,FALSE)</f>
        <v>PR.IP-9</v>
      </c>
      <c r="Q143" s="72">
        <f>VLOOKUP($B143,'Standards Crosswalk'!$A:$H,7,FALSE)</f>
        <v>0</v>
      </c>
      <c r="R143" s="72" t="str">
        <f>VLOOKUP($B143,'Standards Crosswalk'!$A:$H,8,FALSE)</f>
        <v>AC-5, CP-4, CP-10; NIST SP 800-34</v>
      </c>
      <c r="S143" s="72">
        <f>VLOOKUP($B143,'Standards Crosswalk'!$A:$I,9,FALSE)</f>
        <v>0</v>
      </c>
    </row>
    <row r="144" spans="1:19" ht="166" thickBot="1" x14ac:dyDescent="0.2">
      <c r="A144" s="71">
        <f t="shared" si="5"/>
        <v>142</v>
      </c>
      <c r="B144" s="77" t="s">
        <v>308</v>
      </c>
      <c r="C144" s="78" t="str">
        <f>VLOOKUP(B144,'HECVAT - Full'!A:E,2,FALSE)</f>
        <v>Is there a defined problem/issue escalation plan in your DRP for impacted clients?</v>
      </c>
      <c r="D144" s="71" t="str">
        <f>VLOOKUP(B144,'HECVAT - Full'!A:E,4,FALSE)</f>
        <v xml:space="preserve">Please see the Business Continuity and Disaster Recovery Plan	</v>
      </c>
      <c r="E144" s="79" t="b">
        <f>IF(Table1[[#This Row],[Column11]]&gt;20,TRUE,FALSE)</f>
        <v>1</v>
      </c>
      <c r="F144" s="79" t="s">
        <v>2035</v>
      </c>
      <c r="G144" s="80" t="s">
        <v>16</v>
      </c>
      <c r="H144" s="81">
        <v>1</v>
      </c>
      <c r="I144" s="71" t="str">
        <f>VLOOKUP(B144,'HECVAT - Full'!A:E,3,FALSE)</f>
        <v>Yes</v>
      </c>
      <c r="J144" s="71">
        <f>IF(Table1[[#This Row],[Column7]]=Table1[[#This Row],[Column9]],1,0)</f>
        <v>1</v>
      </c>
      <c r="K144" s="71">
        <v>25</v>
      </c>
      <c r="L144" s="71">
        <f>IF(Table1[[#This Row],[Column8]]=1,J144*K144,"")</f>
        <v>25</v>
      </c>
      <c r="M144" s="72" t="str">
        <f>VLOOKUP($B144,'Standards Crosswalk'!$A:$H,3,FALSE)</f>
        <v>CSC 10</v>
      </c>
      <c r="N144" s="72">
        <f>VLOOKUP($B144,'Standards Crosswalk'!$A:$H,4,FALSE)</f>
        <v>0</v>
      </c>
      <c r="O144" s="72">
        <f>VLOOKUP($B144,'Standards Crosswalk'!$A:$H,5,FALSE)</f>
        <v>0</v>
      </c>
      <c r="P144" s="72" t="str">
        <f>VLOOKUP($B144,'Standards Crosswalk'!$A:$H,6,FALSE)</f>
        <v>PR.IP-9</v>
      </c>
      <c r="Q144" s="72" t="str">
        <f>VLOOKUP($B144,'Standards Crosswalk'!$A:$H,7,FALSE)</f>
        <v>3.12.2</v>
      </c>
      <c r="R144" s="72" t="str">
        <f>VLOOKUP($B144,'Standards Crosswalk'!$A:$H,8,FALSE)</f>
        <v>AC-5, CP-4, CP-10; NIST SP 800-34</v>
      </c>
      <c r="S144" s="72">
        <f>VLOOKUP($B144,'Standards Crosswalk'!$A:$I,9,FALSE)</f>
        <v>12.8</v>
      </c>
    </row>
    <row r="145" spans="1:19" ht="166" thickBot="1" x14ac:dyDescent="0.2">
      <c r="A145" s="71">
        <f t="shared" si="5"/>
        <v>143</v>
      </c>
      <c r="B145" s="77" t="s">
        <v>309</v>
      </c>
      <c r="C145" s="78" t="str">
        <f>VLOOKUP(B145,'HECVAT - Full'!A:E,2,FALSE)</f>
        <v>Is there a documented communication plan in your DRP for impacted clients?</v>
      </c>
      <c r="D145" s="71" t="str">
        <f>VLOOKUP(B145,'HECVAT - Full'!A:E,4,FALSE)</f>
        <v xml:space="preserve">Please see the Business Continuity and Disaster Recovery Plan	</v>
      </c>
      <c r="E145" s="79" t="b">
        <f>IF(Table1[[#This Row],[Column11]]&gt;20,TRUE,FALSE)</f>
        <v>0</v>
      </c>
      <c r="F145" s="79" t="s">
        <v>2035</v>
      </c>
      <c r="G145" s="80" t="s">
        <v>16</v>
      </c>
      <c r="H145" s="81">
        <v>1</v>
      </c>
      <c r="I145" s="71" t="str">
        <f>VLOOKUP(B145,'HECVAT - Full'!A:E,3,FALSE)</f>
        <v>Yes</v>
      </c>
      <c r="J145" s="71">
        <f>IF(Table1[[#This Row],[Column7]]=Table1[[#This Row],[Column9]],1,0)</f>
        <v>1</v>
      </c>
      <c r="K145" s="71">
        <f>IF(Table1[[#This Row],[Column8]]=1,20,"")</f>
        <v>20</v>
      </c>
      <c r="L145" s="71">
        <f>IF(Table1[[#This Row],[Column8]]=1,J145*K145,"")</f>
        <v>20</v>
      </c>
      <c r="M145" s="72" t="str">
        <f>VLOOKUP($B145,'Standards Crosswalk'!$A:$H,3,FALSE)</f>
        <v>CSC 10</v>
      </c>
      <c r="N145" s="72">
        <f>VLOOKUP($B145,'Standards Crosswalk'!$A:$H,4,FALSE)</f>
        <v>0</v>
      </c>
      <c r="O145" s="72" t="str">
        <f>VLOOKUP($B145,'Standards Crosswalk'!$A:$H,5,FALSE)</f>
        <v>17.1.2</v>
      </c>
      <c r="P145" s="72" t="str">
        <f>VLOOKUP($B145,'Standards Crosswalk'!$A:$H,6,FALSE)</f>
        <v>PR.IP-9</v>
      </c>
      <c r="Q145" s="72" t="str">
        <f>VLOOKUP($B145,'Standards Crosswalk'!$A:$H,7,FALSE)</f>
        <v>3.12.2</v>
      </c>
      <c r="R145" s="72" t="str">
        <f>VLOOKUP($B145,'Standards Crosswalk'!$A:$H,8,FALSE)</f>
        <v>AC-5, CP-4, CP-10; NIST SP 800-34</v>
      </c>
      <c r="S145" s="72">
        <f>VLOOKUP($B145,'Standards Crosswalk'!$A:$I,9,FALSE)</f>
        <v>12.8</v>
      </c>
    </row>
    <row r="146" spans="1:19" ht="286" thickBot="1" x14ac:dyDescent="0.2">
      <c r="A146" s="71">
        <f t="shared" si="5"/>
        <v>144</v>
      </c>
      <c r="B146" s="77" t="s">
        <v>310</v>
      </c>
      <c r="C146" s="78" t="str">
        <f>VLOOKUP(B146,'HECVAT - Full'!A:E,2,FALSE)</f>
        <v>Describe or provide a reference to how your disaster recovery plan is tested? (i.e. scope of DR tests, end-to-end testing, etc.)</v>
      </c>
      <c r="D146" s="71">
        <f>VLOOKUP(B146,'HECVAT - Full'!A:E,4,FALSE)</f>
        <v>0</v>
      </c>
      <c r="E146" s="79" t="b">
        <f>IF(Table1[[#This Row],[Column11]]&gt;20,TRUE,FALSE)</f>
        <v>0</v>
      </c>
      <c r="F146" s="79" t="s">
        <v>2035</v>
      </c>
      <c r="G146" s="80" t="s">
        <v>16</v>
      </c>
      <c r="H146" s="81">
        <v>1</v>
      </c>
      <c r="I146" s="71" t="str">
        <f>VLOOKUP(B146,'HECVAT - Full'!A:E,3,FALSE)</f>
        <v xml:space="preserve">Please see the Business Continuity and Disaster Recovery Plan	</v>
      </c>
      <c r="J146" s="71">
        <f>IF(VLOOKUP(B146,'Analyst Report'!$A$41:$H$88,7,FALSE)="Yes",1,0)</f>
        <v>0</v>
      </c>
      <c r="K146" s="71">
        <f>IF(Table1[[#This Row],[Column8]]=1,20,"")</f>
        <v>20</v>
      </c>
      <c r="L146" s="71">
        <f>IF(Table1[[#This Row],[Column8]]=1,J146*K146,"")</f>
        <v>0</v>
      </c>
      <c r="M146" s="72" t="str">
        <f>VLOOKUP($B146,'Standards Crosswalk'!$A:$H,3,FALSE)</f>
        <v>CSC 10</v>
      </c>
      <c r="N146" s="72">
        <f>VLOOKUP($B146,'Standards Crosswalk'!$A:$H,4,FALSE)</f>
        <v>0</v>
      </c>
      <c r="O146" s="72" t="str">
        <f>VLOOKUP($B146,'Standards Crosswalk'!$A:$H,5,FALSE)</f>
        <v>17.1.3</v>
      </c>
      <c r="P146" s="72" t="str">
        <f>VLOOKUP($B146,'Standards Crosswalk'!$A:$H,6,FALSE)</f>
        <v>PR.IP-9</v>
      </c>
      <c r="Q146" s="72" t="str">
        <f>VLOOKUP($B146,'Standards Crosswalk'!$A:$H,7,FALSE)</f>
        <v>3.12.2</v>
      </c>
      <c r="R146" s="72" t="str">
        <f>VLOOKUP($B146,'Standards Crosswalk'!$A:$H,8,FALSE)</f>
        <v>AC-5, CP-4, CP-10; NIST SP 800-34</v>
      </c>
      <c r="S146" s="72">
        <f>VLOOKUP($B146,'Standards Crosswalk'!$A:$I,9,FALSE)</f>
        <v>0</v>
      </c>
    </row>
    <row r="147" spans="1:19" ht="136" thickBot="1" x14ac:dyDescent="0.2">
      <c r="A147" s="71">
        <f t="shared" si="5"/>
        <v>145</v>
      </c>
      <c r="B147" s="77" t="s">
        <v>311</v>
      </c>
      <c r="C147" s="78" t="str">
        <f>VLOOKUP(B147,'HECVAT - Full'!A:E,2,FALSE)</f>
        <v>Has the Disaster Recovery Plan been tested in the last year?  Please provide a summary of the results in Additional Information (including actual recovery time).</v>
      </c>
      <c r="D147" s="71" t="str">
        <f>VLOOKUP(B147,'HECVAT - Full'!A:E,4,FALSE)</f>
        <v>We plan to conduct a test in 2021 and yearly thereafter</v>
      </c>
      <c r="E147" s="79" t="b">
        <f>IF(Table1[[#This Row],[Column11]]&gt;20,TRUE,FALSE)</f>
        <v>0</v>
      </c>
      <c r="F147" s="79" t="s">
        <v>2035</v>
      </c>
      <c r="G147" s="80" t="s">
        <v>16</v>
      </c>
      <c r="H147" s="81">
        <v>1</v>
      </c>
      <c r="I147" s="71" t="str">
        <f>VLOOKUP(B147,'HECVAT - Full'!A:E,3,FALSE)</f>
        <v>No</v>
      </c>
      <c r="J147" s="71">
        <f>IF(Table1[[#This Row],[Column7]]=Table1[[#This Row],[Column9]],1,0)</f>
        <v>0</v>
      </c>
      <c r="K147" s="71">
        <f>IF(Table1[[#This Row],[Column8]]=1,20,"")</f>
        <v>20</v>
      </c>
      <c r="L147" s="71">
        <f>IF(Table1[[#This Row],[Column8]]=1,J147*K147,"")</f>
        <v>0</v>
      </c>
      <c r="M147" s="72" t="str">
        <f>VLOOKUP($B147,'Standards Crosswalk'!$A:$H,3,FALSE)</f>
        <v>CSC 10</v>
      </c>
      <c r="N147" s="72">
        <f>VLOOKUP($B147,'Standards Crosswalk'!$A:$H,4,FALSE)</f>
        <v>0</v>
      </c>
      <c r="O147" s="72" t="str">
        <f>VLOOKUP($B147,'Standards Crosswalk'!$A:$H,5,FALSE)</f>
        <v>17.1.3</v>
      </c>
      <c r="P147" s="72" t="str">
        <f>VLOOKUP($B147,'Standards Crosswalk'!$A:$H,6,FALSE)</f>
        <v>PR.IP-9</v>
      </c>
      <c r="Q147" s="72" t="str">
        <f>VLOOKUP($B147,'Standards Crosswalk'!$A:$H,7,FALSE)</f>
        <v>3.12.2</v>
      </c>
      <c r="R147" s="72" t="str">
        <f>VLOOKUP($B147,'Standards Crosswalk'!$A:$H,8,FALSE)</f>
        <v>AC-5, CP-4, CP-10; NIST SP 800-34</v>
      </c>
      <c r="S147" s="72">
        <f>VLOOKUP($B147,'Standards Crosswalk'!$A:$I,9,FALSE)</f>
        <v>0</v>
      </c>
    </row>
    <row r="148" spans="1:19" ht="166" thickBot="1" x14ac:dyDescent="0.2">
      <c r="A148" s="71">
        <f t="shared" si="5"/>
        <v>146</v>
      </c>
      <c r="B148" s="95" t="s">
        <v>312</v>
      </c>
      <c r="C148" s="78" t="str">
        <f>VLOOKUP(B148,'HECVAT - Full'!A:E,2,FALSE)</f>
        <v>Do the documented test results identify your organizations actual recovery time capabilities for technology and facilities?</v>
      </c>
      <c r="D148" s="71" t="str">
        <f>VLOOKUP(B148,'HECVAT - Full'!A:E,4,FALSE)</f>
        <v xml:space="preserve">Please see the Business Continuity and Disaster Recovery Plan	</v>
      </c>
      <c r="E148" s="79" t="b">
        <f>IF(Table1[[#This Row],[Column11]]&gt;20,TRUE,FALSE)</f>
        <v>1</v>
      </c>
      <c r="F148" s="79" t="s">
        <v>2035</v>
      </c>
      <c r="G148" s="80" t="s">
        <v>16</v>
      </c>
      <c r="H148" s="81">
        <f>IF(I147="Yes",1,0)</f>
        <v>0</v>
      </c>
      <c r="I148" s="71" t="str">
        <f>VLOOKUP(B148,'HECVAT - Full'!A:E,3,FALSE)</f>
        <v>Yes</v>
      </c>
      <c r="J148" s="71">
        <f>IF(Table1[[#This Row],[Column7]]=Table1[[#This Row],[Column9]],1,0)</f>
        <v>1</v>
      </c>
      <c r="K148" s="71" t="str">
        <f>IF(Table1[[#This Row],[Column8]]=1,20,"")</f>
        <v/>
      </c>
      <c r="L148" s="71" t="str">
        <f>IF(Table1[[#This Row],[Column8]]=1,J148*K148,"")</f>
        <v/>
      </c>
      <c r="M148" s="72" t="str">
        <f>VLOOKUP($B148,'Standards Crosswalk'!$A:$H,3,FALSE)</f>
        <v>CSC 10</v>
      </c>
      <c r="N148" s="72">
        <f>VLOOKUP($B148,'Standards Crosswalk'!$A:$H,4,FALSE)</f>
        <v>0</v>
      </c>
      <c r="O148" s="72" t="str">
        <f>VLOOKUP($B148,'Standards Crosswalk'!$A:$H,5,FALSE)</f>
        <v>7.1.3</v>
      </c>
      <c r="P148" s="72" t="str">
        <f>VLOOKUP($B148,'Standards Crosswalk'!$A:$H,6,FALSE)</f>
        <v>PR.IP-9</v>
      </c>
      <c r="Q148" s="72">
        <f>VLOOKUP($B148,'Standards Crosswalk'!$A:$H,7,FALSE)</f>
        <v>0</v>
      </c>
      <c r="R148" s="72" t="str">
        <f>VLOOKUP($B148,'Standards Crosswalk'!$A:$H,8,FALSE)</f>
        <v>AC-5, CP-4, CP-10; NIST SP 800-34</v>
      </c>
      <c r="S148" s="72">
        <f>VLOOKUP($B148,'Standards Crosswalk'!$A:$I,9,FALSE)</f>
        <v>12.8</v>
      </c>
    </row>
    <row r="149" spans="1:19" ht="166" thickBot="1" x14ac:dyDescent="0.2">
      <c r="A149" s="71">
        <f t="shared" si="5"/>
        <v>147</v>
      </c>
      <c r="B149" s="77" t="s">
        <v>313</v>
      </c>
      <c r="C149" s="78" t="str">
        <f>VLOOKUP(B149,'HECVAT - Full'!A:E,2,FALSE)</f>
        <v xml:space="preserve">Are all components of the DRP reviewed at least annually and updated as needed to reflect change? </v>
      </c>
      <c r="D149" s="71" t="str">
        <f>VLOOKUP(B149,'HECVAT - Full'!A:E,4,FALSE)</f>
        <v xml:space="preserve">Please see the Business Continuity and Disaster Recovery Plan	</v>
      </c>
      <c r="E149" s="79" t="b">
        <f>IF(Table1[[#This Row],[Column11]]&gt;20,TRUE,FALSE)</f>
        <v>0</v>
      </c>
      <c r="F149" s="79" t="s">
        <v>2035</v>
      </c>
      <c r="G149" s="80" t="s">
        <v>16</v>
      </c>
      <c r="H149" s="81">
        <v>1</v>
      </c>
      <c r="I149" s="71" t="str">
        <f>VLOOKUP(B149,'HECVAT - Full'!A:E,3,FALSE)</f>
        <v>Yes</v>
      </c>
      <c r="J149" s="71">
        <f>IF(Table1[[#This Row],[Column7]]=Table1[[#This Row],[Column9]],1,0)</f>
        <v>1</v>
      </c>
      <c r="K149" s="71">
        <f>IF(Table1[[#This Row],[Column8]]=1,20,"")</f>
        <v>20</v>
      </c>
      <c r="L149" s="71">
        <f>IF(Table1[[#This Row],[Column8]]=1,J149*K149,"")</f>
        <v>20</v>
      </c>
      <c r="M149" s="72" t="str">
        <f>VLOOKUP($B149,'Standards Crosswalk'!$A:$H,3,FALSE)</f>
        <v>CSC 10</v>
      </c>
      <c r="N149" s="72">
        <f>VLOOKUP($B149,'Standards Crosswalk'!$A:$H,4,FALSE)</f>
        <v>0</v>
      </c>
      <c r="O149" s="72" t="str">
        <f>VLOOKUP($B149,'Standards Crosswalk'!$A:$H,5,FALSE)</f>
        <v>17.1.1</v>
      </c>
      <c r="P149" s="72" t="str">
        <f>VLOOKUP($B149,'Standards Crosswalk'!$A:$H,6,FALSE)</f>
        <v>PR.IP-9</v>
      </c>
      <c r="Q149" s="72" t="str">
        <f>VLOOKUP($B149,'Standards Crosswalk'!$A:$H,7,FALSE)</f>
        <v>3.12.2</v>
      </c>
      <c r="R149" s="72" t="str">
        <f>VLOOKUP($B149,'Standards Crosswalk'!$A:$H,8,FALSE)</f>
        <v>AC-5, CP-4, CP-10; NIST SP 800-34</v>
      </c>
      <c r="S149" s="72">
        <f>VLOOKUP($B149,'Standards Crosswalk'!$A:$I,9,FALSE)</f>
        <v>0</v>
      </c>
    </row>
    <row r="150" spans="1:19" ht="226" thickBot="1" x14ac:dyDescent="0.2">
      <c r="A150" s="71">
        <f t="shared" si="5"/>
        <v>148</v>
      </c>
      <c r="B150" s="77" t="s">
        <v>314</v>
      </c>
      <c r="C150" s="78" t="str">
        <f>VLOOKUP(B150,'HECVAT - Full'!A:E,2,FALSE)</f>
        <v>Do you carry cyber-risk insurance to protect against unforeseen service outages, data that is lost or stolen, and security incidents?</v>
      </c>
      <c r="D150" s="71" t="str">
        <f>VLOOKUP(B150,'HECVAT - Full'!A:E,4,FALSE)</f>
        <v>Hit Labs carries cyber-insurance for $3,000,000 per incident and $3,000,000 aggregate.</v>
      </c>
      <c r="E150" s="79" t="b">
        <f>IF(Table1[[#This Row],[Column11]]&gt;20,TRUE,FALSE)</f>
        <v>0</v>
      </c>
      <c r="F150" s="79" t="s">
        <v>2035</v>
      </c>
      <c r="G150" s="80" t="s">
        <v>16</v>
      </c>
      <c r="H150" s="81">
        <v>1</v>
      </c>
      <c r="I150" s="71" t="str">
        <f>VLOOKUP(B150,'HECVAT - Full'!A:E,3,FALSE)</f>
        <v>Yes</v>
      </c>
      <c r="J150" s="71">
        <f>IF(Table1[[#This Row],[Column7]]=Table1[[#This Row],[Column9]],1,0)</f>
        <v>1</v>
      </c>
      <c r="K150" s="71">
        <f>IF(Table1[[#This Row],[Column8]]=1,20,"")</f>
        <v>20</v>
      </c>
      <c r="L150" s="71">
        <f>IF(Table1[[#This Row],[Column8]]=1,J150*K150,"")</f>
        <v>20</v>
      </c>
      <c r="M150" s="72">
        <f>VLOOKUP($B150,'Standards Crosswalk'!$A:$H,3,FALSE)</f>
        <v>0</v>
      </c>
      <c r="N150" s="72">
        <f>VLOOKUP($B150,'Standards Crosswalk'!$A:$H,4,FALSE)</f>
        <v>0</v>
      </c>
      <c r="O150" s="72">
        <f>VLOOKUP($B150,'Standards Crosswalk'!$A:$H,5,FALSE)</f>
        <v>0</v>
      </c>
      <c r="P150" s="72">
        <f>VLOOKUP($B150,'Standards Crosswalk'!$A:$H,6,FALSE)</f>
        <v>0</v>
      </c>
      <c r="Q150" s="72" t="str">
        <f>VLOOKUP($B150,'Standards Crosswalk'!$A:$H,7,FALSE)</f>
        <v>3.6.2</v>
      </c>
      <c r="R150" s="72" t="str">
        <f>VLOOKUP($B150,'Standards Crosswalk'!$A:$H,8,FALSE)</f>
        <v>AC-5, CP-4, CP-10; NIST SP 800-34</v>
      </c>
      <c r="S150" s="72">
        <f>VLOOKUP($B150,'Standards Crosswalk'!$A:$I,9,FALSE)</f>
        <v>12.8</v>
      </c>
    </row>
    <row r="151" spans="1:19" ht="409.6" thickBot="1" x14ac:dyDescent="0.2">
      <c r="A151" s="71">
        <f t="shared" si="5"/>
        <v>149</v>
      </c>
      <c r="B151" s="77" t="s">
        <v>315</v>
      </c>
      <c r="C151" s="78" t="str">
        <f>VLOOKUP(B151,'HECVAT - Full'!A:E,2,FALSE)</f>
        <v>Are you utilizing a web application firewall (WAF)?</v>
      </c>
      <c r="D151" s="71" t="str">
        <f>VLOOKUP(B151,'HECVAT - Full'!A:E,4,FALSE)</f>
        <v>Web traffic is routed through AWS CloudFront so that web application servers are never exposed directly to internet traffic. We are in the process of testing WAF in both CloudFront and on load balanders.</v>
      </c>
      <c r="E151" s="79" t="b">
        <f>IF(Table1[[#This Row],[Column11]]&gt;20,TRUE,FALSE)</f>
        <v>1</v>
      </c>
      <c r="F151" s="79" t="s">
        <v>2036</v>
      </c>
      <c r="G151" s="80" t="s">
        <v>16</v>
      </c>
      <c r="H151" s="81">
        <v>1</v>
      </c>
      <c r="I151" s="71" t="str">
        <f>VLOOKUP(B151,'HECVAT - Full'!A:E,3,FALSE)</f>
        <v>No</v>
      </c>
      <c r="J151" s="71">
        <f>IF(Table1[[#This Row],[Column7]]=Table1[[#This Row],[Column9]],1,0)</f>
        <v>0</v>
      </c>
      <c r="K151" s="71">
        <v>25</v>
      </c>
      <c r="L151" s="71">
        <f>IF(Table1[[#This Row],[Column8]]=1,J151*K151,"")</f>
        <v>0</v>
      </c>
      <c r="M151" s="72" t="str">
        <f>VLOOKUP($B151,'Standards Crosswalk'!$A:$H,3,FALSE)</f>
        <v>CSC 9</v>
      </c>
      <c r="N151" s="72">
        <f>VLOOKUP($B151,'Standards Crosswalk'!$A:$H,4,FALSE)</f>
        <v>0</v>
      </c>
      <c r="O151" s="72" t="str">
        <f>VLOOKUP($B151,'Standards Crosswalk'!$A:$H,5,FALSE)</f>
        <v>13.1.1</v>
      </c>
      <c r="P151" s="72" t="str">
        <f>VLOOKUP($B151,'Standards Crosswalk'!$A:$H,6,FALSE)</f>
        <v>PR.DS-5</v>
      </c>
      <c r="Q151" s="72">
        <f>VLOOKUP($B151,'Standards Crosswalk'!$A:$H,7,FALSE)</f>
        <v>0</v>
      </c>
      <c r="R151" s="72">
        <f>VLOOKUP($B151,'Standards Crosswalk'!$A:$H,8,FALSE)</f>
        <v>0</v>
      </c>
      <c r="S151" s="72">
        <f>VLOOKUP($B151,'Standards Crosswalk'!$A:$I,9,FALSE)</f>
        <v>1.1000000000000001</v>
      </c>
    </row>
    <row r="152" spans="1:19" ht="76" thickBot="1" x14ac:dyDescent="0.2">
      <c r="A152" s="71">
        <f t="shared" si="5"/>
        <v>150</v>
      </c>
      <c r="B152" s="77" t="s">
        <v>316</v>
      </c>
      <c r="C152" s="78" t="str">
        <f>VLOOKUP(B152,'HECVAT - Full'!A:E,2,FALSE)</f>
        <v>Are you utilizing a stateful packet inspection (SPI) firewall?</v>
      </c>
      <c r="D152" s="71" t="str">
        <f>VLOOKUP(B152,'HECVAT - Full'!A:E,4,FALSE)</f>
        <v>Under consideration</v>
      </c>
      <c r="E152" s="79" t="b">
        <f>IF(Table1[[#This Row],[Column11]]&gt;20,TRUE,FALSE)</f>
        <v>1</v>
      </c>
      <c r="F152" s="79" t="s">
        <v>2036</v>
      </c>
      <c r="G152" s="80" t="s">
        <v>16</v>
      </c>
      <c r="H152" s="81">
        <v>1</v>
      </c>
      <c r="I152" s="71" t="str">
        <f>VLOOKUP(B152,'HECVAT - Full'!A:E,3,FALSE)</f>
        <v>No</v>
      </c>
      <c r="J152" s="71">
        <f>IF(Table1[[#This Row],[Column7]]=Table1[[#This Row],[Column9]],1,0)</f>
        <v>0</v>
      </c>
      <c r="K152" s="71">
        <v>25</v>
      </c>
      <c r="L152" s="71">
        <f>IF(Table1[[#This Row],[Column8]]=1,J152*K152,"")</f>
        <v>0</v>
      </c>
      <c r="M152" s="72" t="str">
        <f>VLOOKUP($B152,'Standards Crosswalk'!$A:$H,3,FALSE)</f>
        <v>CSC 9</v>
      </c>
      <c r="N152" s="72">
        <f>VLOOKUP($B152,'Standards Crosswalk'!$A:$H,4,FALSE)</f>
        <v>0</v>
      </c>
      <c r="O152" s="72" t="str">
        <f>VLOOKUP($B152,'Standards Crosswalk'!$A:$H,5,FALSE)</f>
        <v>13.1.1</v>
      </c>
      <c r="P152" s="72" t="str">
        <f>VLOOKUP($B152,'Standards Crosswalk'!$A:$H,6,FALSE)</f>
        <v>PR.DS-5</v>
      </c>
      <c r="Q152" s="72">
        <f>VLOOKUP($B152,'Standards Crosswalk'!$A:$H,7,FALSE)</f>
        <v>0</v>
      </c>
      <c r="R152" s="72">
        <f>VLOOKUP($B152,'Standards Crosswalk'!$A:$H,8,FALSE)</f>
        <v>0</v>
      </c>
      <c r="S152" s="72">
        <f>VLOOKUP($B152,'Standards Crosswalk'!$A:$I,9,FALSE)</f>
        <v>1.1000000000000001</v>
      </c>
    </row>
    <row r="153" spans="1:19" ht="343" thickBot="1" x14ac:dyDescent="0.2">
      <c r="A153" s="71">
        <f t="shared" si="5"/>
        <v>151</v>
      </c>
      <c r="B153" s="77" t="s">
        <v>317</v>
      </c>
      <c r="C153" s="78" t="str">
        <f>VLOOKUP(B153,'HECVAT - Full'!A:E,2,FALSE)</f>
        <v>State and describe who has the authority to change firewall rules?</v>
      </c>
      <c r="D153" s="71">
        <f>VLOOKUP(B153,'HECVAT - Full'!A:E,4,FALSE)</f>
        <v>0</v>
      </c>
      <c r="E153" s="79" t="b">
        <f>IF(Table1[[#This Row],[Column11]]&gt;20,TRUE,FALSE)</f>
        <v>0</v>
      </c>
      <c r="F153" s="79" t="s">
        <v>2036</v>
      </c>
      <c r="G153" s="80" t="s">
        <v>16</v>
      </c>
      <c r="H153" s="81">
        <v>1</v>
      </c>
      <c r="I153" s="71" t="str">
        <f>VLOOKUP(B153,'HECVAT - Full'!A:E,3,FALSE)</f>
        <v>Only the Development Operations team has authority to change firewall rules</v>
      </c>
      <c r="J153" s="71">
        <f>IF(VLOOKUP(Table1[[#This Row],[Column2]],'Analyst Report'!$A$41:$G$88,7,FALSE)="Yes",1,0)</f>
        <v>0</v>
      </c>
      <c r="K153" s="71">
        <f>IF(Table1[[#This Row],[Column8]]=1,20,"")</f>
        <v>20</v>
      </c>
      <c r="L153" s="71">
        <f>IF(Table1[[#This Row],[Column8]]=1,J153*K153,"")</f>
        <v>0</v>
      </c>
      <c r="M153" s="72" t="str">
        <f>VLOOKUP($B153,'Standards Crosswalk'!$A:$H,3,FALSE)</f>
        <v>CSC 9</v>
      </c>
      <c r="N153" s="72">
        <f>VLOOKUP($B153,'Standards Crosswalk'!$A:$H,4,FALSE)</f>
        <v>0</v>
      </c>
      <c r="O153" s="72" t="str">
        <f>VLOOKUP($B153,'Standards Crosswalk'!$A:$H,5,FALSE)</f>
        <v>13</v>
      </c>
      <c r="P153" s="72" t="str">
        <f>VLOOKUP($B153,'Standards Crosswalk'!$A:$H,6,FALSE)</f>
        <v>PR.AC-5</v>
      </c>
      <c r="Q153" s="72">
        <f>VLOOKUP($B153,'Standards Crosswalk'!$A:$H,7,FALSE)</f>
        <v>0</v>
      </c>
      <c r="R153" s="72">
        <f>VLOOKUP($B153,'Standards Crosswalk'!$A:$H,8,FALSE)</f>
        <v>0</v>
      </c>
      <c r="S153" s="72">
        <f>VLOOKUP($B153,'Standards Crosswalk'!$A:$I,9,FALSE)</f>
        <v>1.1000000000000001</v>
      </c>
    </row>
    <row r="154" spans="1:19" ht="76" thickBot="1" x14ac:dyDescent="0.2">
      <c r="A154" s="71">
        <f t="shared" si="5"/>
        <v>152</v>
      </c>
      <c r="B154" s="77" t="s">
        <v>318</v>
      </c>
      <c r="C154" s="78" t="str">
        <f>VLOOKUP(B154,'HECVAT - Full'!A:E,2,FALSE)</f>
        <v>Do you have a documented policy for firewall change requests?</v>
      </c>
      <c r="D154" s="71" t="str">
        <f>VLOOKUP(B154,'HECVAT - Full'!A:E,4,FALSE)</f>
        <v>Under consideration</v>
      </c>
      <c r="E154" s="79" t="b">
        <f>IF(Table1[[#This Row],[Column11]]&gt;20,TRUE,FALSE)</f>
        <v>1</v>
      </c>
      <c r="F154" s="79" t="s">
        <v>2036</v>
      </c>
      <c r="G154" s="80" t="s">
        <v>16</v>
      </c>
      <c r="H154" s="81">
        <v>1</v>
      </c>
      <c r="I154" s="71" t="str">
        <f>VLOOKUP(B154,'HECVAT - Full'!A:E,3,FALSE)</f>
        <v>No</v>
      </c>
      <c r="J154" s="71">
        <f>IF(Table1[[#This Row],[Column7]]=Table1[[#This Row],[Column9]],1,0)</f>
        <v>0</v>
      </c>
      <c r="K154" s="71">
        <v>25</v>
      </c>
      <c r="L154" s="71">
        <f>IF(Table1[[#This Row],[Column8]]=1,J154*K154,"")</f>
        <v>0</v>
      </c>
      <c r="M154" s="72" t="str">
        <f>VLOOKUP($B154,'Standards Crosswalk'!$A:$H,3,FALSE)</f>
        <v>CSC 9</v>
      </c>
      <c r="N154" s="72">
        <f>VLOOKUP($B154,'Standards Crosswalk'!$A:$H,4,FALSE)</f>
        <v>0</v>
      </c>
      <c r="O154" s="72" t="str">
        <f>VLOOKUP($B154,'Standards Crosswalk'!$A:$H,5,FALSE)</f>
        <v>12.1.2</v>
      </c>
      <c r="P154" s="72" t="str">
        <f>VLOOKUP($B154,'Standards Crosswalk'!$A:$H,6,FALSE)</f>
        <v>PR.AC-5</v>
      </c>
      <c r="Q154" s="72">
        <f>VLOOKUP($B154,'Standards Crosswalk'!$A:$H,7,FALSE)</f>
        <v>0</v>
      </c>
      <c r="R154" s="72">
        <f>VLOOKUP($B154,'Standards Crosswalk'!$A:$H,8,FALSE)</f>
        <v>0</v>
      </c>
      <c r="S154" s="72">
        <f>VLOOKUP($B154,'Standards Crosswalk'!$A:$I,9,FALSE)</f>
        <v>1.1000000000000001</v>
      </c>
    </row>
    <row r="155" spans="1:19" ht="76" thickBot="1" x14ac:dyDescent="0.2">
      <c r="A155" s="71">
        <f t="shared" si="5"/>
        <v>153</v>
      </c>
      <c r="B155" s="77" t="s">
        <v>319</v>
      </c>
      <c r="C155" s="78" t="str">
        <f>VLOOKUP(B155,'HECVAT - Full'!A:E,2,FALSE)</f>
        <v>Have you implemented an Intrusion Detection System (network-based)?</v>
      </c>
      <c r="D155" s="71" t="str">
        <f>VLOOKUP(B155,'HECVAT - Full'!A:E,4,FALSE)</f>
        <v>Amazon GuardDuty</v>
      </c>
      <c r="E155" s="79" t="b">
        <f>IF(Table1[[#This Row],[Column11]]&gt;20,TRUE,FALSE)</f>
        <v>1</v>
      </c>
      <c r="F155" s="79" t="s">
        <v>2036</v>
      </c>
      <c r="G155" s="80" t="s">
        <v>16</v>
      </c>
      <c r="H155" s="81">
        <v>1</v>
      </c>
      <c r="I155" s="71" t="str">
        <f>VLOOKUP(B155,'HECVAT - Full'!A:E,3,FALSE)</f>
        <v>Yes</v>
      </c>
      <c r="J155" s="71">
        <f>IF(Table1[[#This Row],[Column7]]=Table1[[#This Row],[Column9]],1,0)</f>
        <v>1</v>
      </c>
      <c r="K155" s="71">
        <v>25</v>
      </c>
      <c r="L155" s="71">
        <f>IF(Table1[[#This Row],[Column8]]=1,J155*K155,"")</f>
        <v>25</v>
      </c>
      <c r="M155" s="72" t="str">
        <f>VLOOKUP($B155,'Standards Crosswalk'!$A:$H,3,FALSE)</f>
        <v>CSC 19</v>
      </c>
      <c r="N155" s="72">
        <f>VLOOKUP($B155,'Standards Crosswalk'!$A:$H,4,FALSE)</f>
        <v>0</v>
      </c>
      <c r="O155" s="72" t="str">
        <f>VLOOKUP($B155,'Standards Crosswalk'!$A:$H,5,FALSE)</f>
        <v>13.1.2</v>
      </c>
      <c r="P155" s="72" t="str">
        <f>VLOOKUP($B155,'Standards Crosswalk'!$A:$H,6,FALSE)</f>
        <v>DE.CM-1</v>
      </c>
      <c r="Q155" s="72" t="str">
        <f>VLOOKUP($B155,'Standards Crosswalk'!$A:$H,7,FALSE)</f>
        <v>3.6.1, 3.14.6, 3.14.7</v>
      </c>
      <c r="R155" s="72" t="str">
        <f>VLOOKUP($B155,'Standards Crosswalk'!$A:$H,8,FALSE)</f>
        <v>IR-2, IR-4, IR-5</v>
      </c>
      <c r="S155" s="72">
        <f>VLOOKUP($B155,'Standards Crosswalk'!$A:$I,9,FALSE)</f>
        <v>11.4</v>
      </c>
    </row>
    <row r="156" spans="1:19" ht="76" thickBot="1" x14ac:dyDescent="0.2">
      <c r="A156" s="71">
        <f t="shared" si="5"/>
        <v>154</v>
      </c>
      <c r="B156" s="77" t="s">
        <v>320</v>
      </c>
      <c r="C156" s="78" t="str">
        <f>VLOOKUP(B156,'HECVAT - Full'!A:E,2,FALSE)</f>
        <v>Have you implemented an Intrusion Prevention System (network-based)?</v>
      </c>
      <c r="D156" s="71" t="str">
        <f>VLOOKUP(B156,'HECVAT - Full'!A:E,4,FALSE)</f>
        <v>Under consideration</v>
      </c>
      <c r="E156" s="79" t="b">
        <f>IF(Table1[[#This Row],[Column11]]&gt;20,TRUE,FALSE)</f>
        <v>0</v>
      </c>
      <c r="F156" s="79" t="s">
        <v>2036</v>
      </c>
      <c r="G156" s="80" t="s">
        <v>16</v>
      </c>
      <c r="H156" s="81">
        <v>1</v>
      </c>
      <c r="I156" s="71" t="str">
        <f>VLOOKUP(B156,'HECVAT - Full'!A:E,3,FALSE)</f>
        <v>No</v>
      </c>
      <c r="J156" s="71">
        <f>IF(Table1[[#This Row],[Column7]]=Table1[[#This Row],[Column9]],1,0)</f>
        <v>0</v>
      </c>
      <c r="K156" s="71">
        <f>IF(Table1[[#This Row],[Column8]]=1,20,"")</f>
        <v>20</v>
      </c>
      <c r="L156" s="71">
        <f>IF(Table1[[#This Row],[Column8]]=1,J156*K156,"")</f>
        <v>0</v>
      </c>
      <c r="M156" s="72" t="str">
        <f>VLOOKUP($B156,'Standards Crosswalk'!$A:$H,3,FALSE)</f>
        <v>CSC 19</v>
      </c>
      <c r="N156" s="72">
        <f>VLOOKUP($B156,'Standards Crosswalk'!$A:$H,4,FALSE)</f>
        <v>0</v>
      </c>
      <c r="O156" s="72" t="str">
        <f>VLOOKUP($B156,'Standards Crosswalk'!$A:$H,5,FALSE)</f>
        <v>13.1.2</v>
      </c>
      <c r="P156" s="72" t="str">
        <f>VLOOKUP($B156,'Standards Crosswalk'!$A:$H,6,FALSE)</f>
        <v>DE.CM-1</v>
      </c>
      <c r="Q156" s="72" t="str">
        <f>VLOOKUP($B156,'Standards Crosswalk'!$A:$H,7,FALSE)</f>
        <v>3.6.1, 3.14.6, 3.14.7</v>
      </c>
      <c r="R156" s="72" t="str">
        <f>VLOOKUP($B156,'Standards Crosswalk'!$A:$H,8,FALSE)</f>
        <v>IR-2, IR-4, IR-5</v>
      </c>
      <c r="S156" s="72">
        <f>VLOOKUP($B156,'Standards Crosswalk'!$A:$I,9,FALSE)</f>
        <v>11.4</v>
      </c>
    </row>
    <row r="157" spans="1:19" ht="76" thickBot="1" x14ac:dyDescent="0.2">
      <c r="A157" s="71">
        <f t="shared" si="5"/>
        <v>155</v>
      </c>
      <c r="B157" s="77" t="s">
        <v>321</v>
      </c>
      <c r="C157" s="78" t="str">
        <f>VLOOKUP(B157,'HECVAT - Full'!A:E,2,FALSE)</f>
        <v>Do you employ host-based intrusion detection?</v>
      </c>
      <c r="D157" s="71" t="str">
        <f>VLOOKUP(B157,'HECVAT - Full'!A:E,4,FALSE)</f>
        <v>Amazon GuardDuty</v>
      </c>
      <c r="E157" s="79" t="b">
        <f>IF(Table1[[#This Row],[Column11]]&gt;20,TRUE,FALSE)</f>
        <v>1</v>
      </c>
      <c r="F157" s="79" t="s">
        <v>2036</v>
      </c>
      <c r="G157" s="80" t="s">
        <v>16</v>
      </c>
      <c r="H157" s="81">
        <v>1</v>
      </c>
      <c r="I157" s="71" t="str">
        <f>VLOOKUP(B157,'HECVAT - Full'!A:E,3,FALSE)</f>
        <v>Yes</v>
      </c>
      <c r="J157" s="71">
        <f>IF(Table1[[#This Row],[Column7]]=Table1[[#This Row],[Column9]],1,0)</f>
        <v>1</v>
      </c>
      <c r="K157" s="71">
        <v>25</v>
      </c>
      <c r="L157" s="71">
        <f>IF(Table1[[#This Row],[Column8]]=1,J157*K157,"")</f>
        <v>25</v>
      </c>
      <c r="M157" s="72" t="str">
        <f>VLOOKUP($B157,'Standards Crosswalk'!$A:$H,3,FALSE)</f>
        <v>CSC 19</v>
      </c>
      <c r="N157" s="72">
        <f>VLOOKUP($B157,'Standards Crosswalk'!$A:$H,4,FALSE)</f>
        <v>0</v>
      </c>
      <c r="O157" s="72" t="str">
        <f>VLOOKUP($B157,'Standards Crosswalk'!$A:$H,5,FALSE)</f>
        <v>13.1.2</v>
      </c>
      <c r="P157" s="72" t="str">
        <f>VLOOKUP($B157,'Standards Crosswalk'!$A:$H,6,FALSE)</f>
        <v>DE.CM-1</v>
      </c>
      <c r="Q157" s="72" t="str">
        <f>VLOOKUP($B157,'Standards Crosswalk'!$A:$H,7,FALSE)</f>
        <v>3.6.1, 3.14.6, 3.14.7</v>
      </c>
      <c r="R157" s="72" t="str">
        <f>VLOOKUP($B157,'Standards Crosswalk'!$A:$H,8,FALSE)</f>
        <v>IR-2, IR-4, IR-5</v>
      </c>
      <c r="S157" s="72">
        <f>VLOOKUP($B157,'Standards Crosswalk'!$A:$I,9,FALSE)</f>
        <v>11.4</v>
      </c>
    </row>
    <row r="158" spans="1:19" ht="76" thickBot="1" x14ac:dyDescent="0.2">
      <c r="A158" s="71">
        <f t="shared" si="5"/>
        <v>156</v>
      </c>
      <c r="B158" s="77" t="s">
        <v>322</v>
      </c>
      <c r="C158" s="78" t="str">
        <f>VLOOKUP(B158,'HECVAT - Full'!A:E,2,FALSE)</f>
        <v>Do you employ host-based intrusion prevention?</v>
      </c>
      <c r="D158" s="71" t="str">
        <f>VLOOKUP(B158,'HECVAT - Full'!A:E,4,FALSE)</f>
        <v>Under consideration</v>
      </c>
      <c r="E158" s="79" t="b">
        <f>IF(Table1[[#This Row],[Column11]]&gt;20,TRUE,FALSE)</f>
        <v>0</v>
      </c>
      <c r="F158" s="79" t="s">
        <v>2036</v>
      </c>
      <c r="G158" s="80" t="s">
        <v>16</v>
      </c>
      <c r="H158" s="81">
        <v>1</v>
      </c>
      <c r="I158" s="71" t="str">
        <f>VLOOKUP(B158,'HECVAT - Full'!A:E,3,FALSE)</f>
        <v>No</v>
      </c>
      <c r="J158" s="71">
        <f>IF(Table1[[#This Row],[Column7]]=Table1[[#This Row],[Column9]],1,0)</f>
        <v>0</v>
      </c>
      <c r="K158" s="71">
        <f>IF(Table1[[#This Row],[Column8]]=1,20,"")</f>
        <v>20</v>
      </c>
      <c r="L158" s="71">
        <f>IF(Table1[[#This Row],[Column8]]=1,J158*K158,"")</f>
        <v>0</v>
      </c>
      <c r="M158" s="72" t="str">
        <f>VLOOKUP($B158,'Standards Crosswalk'!$A:$H,3,FALSE)</f>
        <v>CSC 19</v>
      </c>
      <c r="N158" s="72">
        <f>VLOOKUP($B158,'Standards Crosswalk'!$A:$H,4,FALSE)</f>
        <v>0</v>
      </c>
      <c r="O158" s="72" t="str">
        <f>VLOOKUP($B158,'Standards Crosswalk'!$A:$H,5,FALSE)</f>
        <v>13.1.2</v>
      </c>
      <c r="P158" s="72" t="str">
        <f>VLOOKUP($B158,'Standards Crosswalk'!$A:$H,6,FALSE)</f>
        <v>DE.CM-1</v>
      </c>
      <c r="Q158" s="72" t="str">
        <f>VLOOKUP($B158,'Standards Crosswalk'!$A:$H,7,FALSE)</f>
        <v>3.6.1, 3.14.6, 3.14.7</v>
      </c>
      <c r="R158" s="72" t="str">
        <f>VLOOKUP($B158,'Standards Crosswalk'!$A:$H,8,FALSE)</f>
        <v>IR-2, IR-4, IR-5</v>
      </c>
      <c r="S158" s="72">
        <f>VLOOKUP($B158,'Standards Crosswalk'!$A:$I,9,FALSE)</f>
        <v>11.4</v>
      </c>
    </row>
    <row r="159" spans="1:19" ht="76" thickBot="1" x14ac:dyDescent="0.2">
      <c r="A159" s="71">
        <f t="shared" si="5"/>
        <v>157</v>
      </c>
      <c r="B159" s="77" t="s">
        <v>323</v>
      </c>
      <c r="C159" s="78" t="str">
        <f>VLOOKUP(B159,'HECVAT - Full'!A:E,2,FALSE)</f>
        <v>Are you employing any next-generation persistent threat (NGPT) monitoring?</v>
      </c>
      <c r="D159" s="71" t="str">
        <f>VLOOKUP(B159,'HECVAT - Full'!A:E,4,FALSE)</f>
        <v>Amazon GuardDuty</v>
      </c>
      <c r="E159" s="79" t="b">
        <f>IF(Table1[[#This Row],[Column11]]&gt;20,TRUE,FALSE)</f>
        <v>0</v>
      </c>
      <c r="F159" s="79" t="s">
        <v>2036</v>
      </c>
      <c r="G159" s="80" t="s">
        <v>16</v>
      </c>
      <c r="H159" s="81">
        <v>1</v>
      </c>
      <c r="I159" s="71" t="str">
        <f>VLOOKUP(B159,'HECVAT - Full'!A:E,3,FALSE)</f>
        <v>Yes</v>
      </c>
      <c r="J159" s="71">
        <f>IF(Table1[[#This Row],[Column7]]=Table1[[#This Row],[Column9]],1,0)</f>
        <v>1</v>
      </c>
      <c r="K159" s="71">
        <f>IF(Table1[[#This Row],[Column8]]=1,20,"")</f>
        <v>20</v>
      </c>
      <c r="L159" s="71">
        <f>IF(Table1[[#This Row],[Column8]]=1,J159*K159,"")</f>
        <v>20</v>
      </c>
      <c r="M159" s="72" t="str">
        <f>VLOOKUP($B159,'Standards Crosswalk'!$A:$H,3,FALSE)</f>
        <v>CSC 19</v>
      </c>
      <c r="N159" s="72">
        <f>VLOOKUP($B159,'Standards Crosswalk'!$A:$H,4,FALSE)</f>
        <v>0</v>
      </c>
      <c r="O159" s="72" t="str">
        <f>VLOOKUP($B159,'Standards Crosswalk'!$A:$H,5,FALSE)</f>
        <v>12.4.1</v>
      </c>
      <c r="P159" s="72">
        <f>VLOOKUP($B159,'Standards Crosswalk'!$A:$H,6,FALSE)</f>
        <v>0</v>
      </c>
      <c r="Q159" s="72" t="str">
        <f>VLOOKUP($B159,'Standards Crosswalk'!$A:$H,7,FALSE)</f>
        <v>3.6.1, 3.14.6, 3.14.7</v>
      </c>
      <c r="R159" s="72" t="str">
        <f>VLOOKUP($B159,'Standards Crosswalk'!$A:$H,8,FALSE)</f>
        <v>IR-2, IR-4, IR-5</v>
      </c>
      <c r="S159" s="72">
        <f>VLOOKUP($B159,'Standards Crosswalk'!$A:$I,9,FALSE)</f>
        <v>11.5</v>
      </c>
    </row>
    <row r="160" spans="1:19" ht="76" thickBot="1" x14ac:dyDescent="0.2">
      <c r="A160" s="71">
        <f t="shared" si="5"/>
        <v>158</v>
      </c>
      <c r="B160" s="77" t="s">
        <v>324</v>
      </c>
      <c r="C160" s="78" t="str">
        <f>VLOOKUP(B160,'HECVAT - Full'!A:E,2,FALSE)</f>
        <v>Do you monitor for intrusions on a 24x7x365 basis?</v>
      </c>
      <c r="D160" s="71">
        <f>VLOOKUP(B160,'HECVAT - Full'!A:E,4,FALSE)</f>
        <v>0</v>
      </c>
      <c r="E160" s="79" t="b">
        <f>IF(Table1[[#This Row],[Column11]]&gt;20,TRUE,FALSE)</f>
        <v>0</v>
      </c>
      <c r="F160" s="79" t="s">
        <v>2036</v>
      </c>
      <c r="G160" s="80" t="s">
        <v>16</v>
      </c>
      <c r="H160" s="81">
        <v>1</v>
      </c>
      <c r="I160" s="71" t="str">
        <f>VLOOKUP(B160,'HECVAT - Full'!A:E,3,FALSE)</f>
        <v>Yes</v>
      </c>
      <c r="J160" s="71">
        <f>IF(Table1[[#This Row],[Column7]]=Table1[[#This Row],[Column9]],1,0)</f>
        <v>1</v>
      </c>
      <c r="K160" s="71">
        <f>IF(Table1[[#This Row],[Column8]]=1,15,"")</f>
        <v>15</v>
      </c>
      <c r="L160" s="71">
        <f>IF(Table1[[#This Row],[Column8]]=1,J160*K160,"")</f>
        <v>15</v>
      </c>
      <c r="M160" s="72" t="str">
        <f>VLOOKUP($B160,'Standards Crosswalk'!$A:$H,3,FALSE)</f>
        <v>CSC 19</v>
      </c>
      <c r="N160" s="72">
        <f>VLOOKUP($B160,'Standards Crosswalk'!$A:$H,4,FALSE)</f>
        <v>0</v>
      </c>
      <c r="O160" s="72" t="str">
        <f>VLOOKUP($B160,'Standards Crosswalk'!$A:$H,5,FALSE)</f>
        <v>12.4.1</v>
      </c>
      <c r="P160" s="72" t="str">
        <f>VLOOKUP($B160,'Standards Crosswalk'!$A:$H,6,FALSE)</f>
        <v>DE.CM-1, DE.CM-2, DE.CM-7</v>
      </c>
      <c r="Q160" s="72" t="str">
        <f>VLOOKUP($B160,'Standards Crosswalk'!$A:$H,7,FALSE)</f>
        <v>3.6.1, 3.14.6, 3.14.7</v>
      </c>
      <c r="R160" s="72" t="str">
        <f>VLOOKUP($B160,'Standards Crosswalk'!$A:$H,8,FALSE)</f>
        <v>IR-2, IR-4, IR-5</v>
      </c>
      <c r="S160" s="72">
        <f>VLOOKUP($B160,'Standards Crosswalk'!$A:$I,9,FALSE)</f>
        <v>11.4</v>
      </c>
    </row>
    <row r="161" spans="1:19" ht="409.6" thickBot="1" x14ac:dyDescent="0.2">
      <c r="A161" s="71">
        <f t="shared" si="5"/>
        <v>159</v>
      </c>
      <c r="B161" s="95" t="s">
        <v>325</v>
      </c>
      <c r="C161" s="78" t="str">
        <f>VLOOKUP(B161,'HECVAT - Full'!A:E,2,FALSE)</f>
        <v>Is intrusion monitoring performed internally or by a third-party service?</v>
      </c>
      <c r="D161" s="71">
        <f>VLOOKUP(B161,'HECVAT - Full'!A:E,4,FALSE)</f>
        <v>0</v>
      </c>
      <c r="E161" s="79" t="b">
        <f>IF(Table1[[#This Row],[Column11]]&gt;20,TRUE,FALSE)</f>
        <v>0</v>
      </c>
      <c r="F161" s="79" t="s">
        <v>2036</v>
      </c>
      <c r="G161" s="80" t="s">
        <v>16</v>
      </c>
      <c r="H161" s="81">
        <f>IF(I160="Yes",1,0)</f>
        <v>1</v>
      </c>
      <c r="I161" s="71" t="str">
        <f>VLOOKUP(B161,'HECVAT - Full'!A:E,3,FALSE)</f>
        <v>Internally. Amazon GuardDuty is configured to send email alerts to the DevOps team upon any potential threat.</v>
      </c>
      <c r="J161" s="71">
        <f>IF(VLOOKUP(Table1[[#This Row],[Column2]],'Analyst Report'!$A$41:$G$88,7,FALSE)="Yes",1,0)</f>
        <v>0</v>
      </c>
      <c r="K161" s="71">
        <f>IF(Table1[[#This Row],[Column8]]=1,20,"")</f>
        <v>20</v>
      </c>
      <c r="L161" s="71">
        <f>IF(Table1[[#This Row],[Column8]]=1,J161*K161,"")</f>
        <v>0</v>
      </c>
      <c r="M161" s="72" t="str">
        <f>VLOOKUP($B161,'Standards Crosswalk'!$A:$H,3,FALSE)</f>
        <v>CSC 6, CSC 19</v>
      </c>
      <c r="N161" s="72">
        <f>VLOOKUP($B161,'Standards Crosswalk'!$A:$H,4,FALSE)</f>
        <v>0</v>
      </c>
      <c r="O161" s="72" t="str">
        <f>VLOOKUP($B161,'Standards Crosswalk'!$A:$H,5,FALSE)</f>
        <v>12.4.1</v>
      </c>
      <c r="P161" s="72" t="str">
        <f>VLOOKUP($B161,'Standards Crosswalk'!$A:$H,6,FALSE)</f>
        <v>DE.CM-1, DE.CM-2, DE.CM-7</v>
      </c>
      <c r="Q161" s="72" t="str">
        <f>VLOOKUP($B161,'Standards Crosswalk'!$A:$H,7,FALSE)</f>
        <v>3.6.1, 3.14.6, 3.14.7</v>
      </c>
      <c r="R161" s="72" t="str">
        <f>VLOOKUP($B161,'Standards Crosswalk'!$A:$H,8,FALSE)</f>
        <v>IR-2, IR-4, IR-5</v>
      </c>
      <c r="S161" s="72" t="str">
        <f>VLOOKUP($B161,'Standards Crosswalk'!$A:$I,9,FALSE)</f>
        <v>11.4, 12.8</v>
      </c>
    </row>
    <row r="162" spans="1:19" ht="136" thickBot="1" x14ac:dyDescent="0.2">
      <c r="A162" s="71">
        <f t="shared" si="5"/>
        <v>160</v>
      </c>
      <c r="B162" s="77" t="s">
        <v>326</v>
      </c>
      <c r="C162" s="78" t="str">
        <f>VLOOKUP(B162,'HECVAT - Full'!A:E,2,FALSE)</f>
        <v>Are audit logs available for all changes to the network, firewall, IDS, and IPS systems?</v>
      </c>
      <c r="D162" s="71" t="str">
        <f>VLOOKUP(B162,'HECVAT - Full'!A:E,4,FALSE)</f>
        <v>All changes are logged in Amazon CloudTrail</v>
      </c>
      <c r="E162" s="79" t="b">
        <f>IF(Table1[[#This Row],[Column11]]&gt;20,TRUE,FALSE)</f>
        <v>1</v>
      </c>
      <c r="F162" s="79" t="s">
        <v>2036</v>
      </c>
      <c r="G162" s="80" t="s">
        <v>16</v>
      </c>
      <c r="H162" s="81">
        <v>1</v>
      </c>
      <c r="I162" s="71" t="str">
        <f>VLOOKUP(B162,'HECVAT - Full'!A:E,3,FALSE)</f>
        <v>Yes</v>
      </c>
      <c r="J162" s="71">
        <f>IF(Table1[[#This Row],[Column7]]=Table1[[#This Row],[Column9]],1,0)</f>
        <v>1</v>
      </c>
      <c r="K162" s="71">
        <f>IF(Table1[[#This Row],[Column8]]=1,25,"")</f>
        <v>25</v>
      </c>
      <c r="L162" s="71">
        <f>IF(Table1[[#This Row],[Column8]]=1,J162*K162,"")</f>
        <v>25</v>
      </c>
      <c r="M162" s="72" t="str">
        <f>VLOOKUP($B162,'Standards Crosswalk'!$A:$H,3,FALSE)</f>
        <v>CSC 6</v>
      </c>
      <c r="N162" s="72">
        <f>VLOOKUP($B162,'Standards Crosswalk'!$A:$H,4,FALSE)</f>
        <v>0</v>
      </c>
      <c r="O162" s="72" t="str">
        <f>VLOOKUP($B162,'Standards Crosswalk'!$A:$H,5,FALSE)</f>
        <v>12.4.1</v>
      </c>
      <c r="P162" s="72" t="str">
        <f>VLOOKUP($B162,'Standards Crosswalk'!$A:$H,6,FALSE)</f>
        <v>DE.AE-1, DE.CM-1, PR.PT-4</v>
      </c>
      <c r="Q162" s="72" t="str">
        <f>VLOOKUP($B162,'Standards Crosswalk'!$A:$H,7,FALSE)</f>
        <v>3.3.1</v>
      </c>
      <c r="R162" s="72" t="str">
        <f>VLOOKUP($B162,'Standards Crosswalk'!$A:$H,8,FALSE)</f>
        <v>AU-2</v>
      </c>
      <c r="S162" s="72" t="str">
        <f>VLOOKUP($B162,'Standards Crosswalk'!$A:$I,9,FALSE)</f>
        <v>1.1, 10.8, 10.6, 10.3, 10.2, 11.4</v>
      </c>
    </row>
    <row r="163" spans="1:19" ht="151" thickBot="1" x14ac:dyDescent="0.2">
      <c r="A163" s="71">
        <f t="shared" si="5"/>
        <v>161</v>
      </c>
      <c r="B163" s="77" t="s">
        <v>327</v>
      </c>
      <c r="C163" s="78" t="str">
        <f>VLOOKUP(B163,'HECVAT - Full'!A:E,2,FALSE)</f>
        <v>On which mobile operating systems is your software or service supported?</v>
      </c>
      <c r="D163" s="71">
        <f>VLOOKUP(B163,'HECVAT - Full'!A:E,4,FALSE)</f>
        <v>0</v>
      </c>
      <c r="E163" s="79" t="b">
        <f>IF(Table1[[#This Row],[Column11]]&gt;20,TRUE,FALSE)</f>
        <v>0</v>
      </c>
      <c r="F163" s="79" t="s">
        <v>2037</v>
      </c>
      <c r="G163" s="80" t="s">
        <v>16</v>
      </c>
      <c r="H163" s="81">
        <v>1</v>
      </c>
      <c r="I163" s="71" t="str">
        <f>VLOOKUP(B163,'HECVAT - Full'!A:E,3,FALSE)</f>
        <v>iOS 11.0 and up, Android 5.0 and up</v>
      </c>
      <c r="J163" s="71">
        <f>IF(VLOOKUP(Table1[[#This Row],[Column2]],'Analyst Report'!$A$41:$G$88,7,FALSE)="Yes",1,0)</f>
        <v>0</v>
      </c>
      <c r="K163" s="71">
        <f>IF(Table1[[#This Row],[Column8]]=1,15,"")</f>
        <v>15</v>
      </c>
      <c r="L163" s="71">
        <f>IF(Table1[[#This Row],[Column8]]=1,J163*K163,"")</f>
        <v>0</v>
      </c>
      <c r="M163" s="72" t="str">
        <f>VLOOKUP($B163,'Standards Crosswalk'!$A:$H,3,FALSE)</f>
        <v>CSC 18</v>
      </c>
      <c r="N163" s="72">
        <f>VLOOKUP($B163,'Standards Crosswalk'!$A:$H,4,FALSE)</f>
        <v>0</v>
      </c>
      <c r="O163" s="72">
        <f>VLOOKUP($B163,'Standards Crosswalk'!$A:$H,5,FALSE)</f>
        <v>0</v>
      </c>
      <c r="P163" s="72">
        <f>VLOOKUP($B163,'Standards Crosswalk'!$A:$H,6,FALSE)</f>
        <v>0</v>
      </c>
      <c r="Q163" s="72">
        <f>VLOOKUP($B163,'Standards Crosswalk'!$A:$H,7,FALSE)</f>
        <v>0</v>
      </c>
      <c r="R163" s="72">
        <f>VLOOKUP($B163,'Standards Crosswalk'!$A:$H,8,FALSE)</f>
        <v>0</v>
      </c>
      <c r="S163" s="72">
        <f>VLOOKUP($B163,'Standards Crosswalk'!$A:$I,9,FALSE)</f>
        <v>0</v>
      </c>
    </row>
    <row r="164" spans="1:19" ht="409.6" thickBot="1" x14ac:dyDescent="0.2">
      <c r="A164" s="71">
        <f t="shared" si="5"/>
        <v>162</v>
      </c>
      <c r="B164" s="77" t="s">
        <v>328</v>
      </c>
      <c r="C164" s="78" t="str">
        <f>VLOOKUP(B164,'HECVAT - Full'!A:E,2,FALSE)</f>
        <v>Describe or provide a reference to the application's architecture and functionality.</v>
      </c>
      <c r="D164" s="71">
        <f>VLOOKUP(B164,'HECVAT - Full'!A:E,4,FALSE)</f>
        <v>0</v>
      </c>
      <c r="E164" s="79" t="b">
        <f>IF(Table1[[#This Row],[Column11]]&gt;20,TRUE,FALSE)</f>
        <v>0</v>
      </c>
      <c r="F164" s="79" t="s">
        <v>2037</v>
      </c>
      <c r="G164" s="80" t="s">
        <v>16</v>
      </c>
      <c r="H164" s="81">
        <v>1</v>
      </c>
      <c r="I164" s="71" t="str">
        <f>VLOOKUP(B164,'HECVAT - Full'!A:E,3,FALSE)</f>
        <v>Please visit https://support.pronto.io to find a series of support articles that describe Pronto's functionality.</v>
      </c>
      <c r="J164" s="71">
        <f>IF(VLOOKUP(Table1[[#This Row],[Column2]],'Analyst Report'!$A$41:$G$88,7,FALSE)="Yes",1,0)</f>
        <v>0</v>
      </c>
      <c r="K164" s="71">
        <f>IF(Table1[[#This Row],[Column8]]=1,20,"")</f>
        <v>20</v>
      </c>
      <c r="L164" s="71">
        <f>IF(Table1[[#This Row],[Column8]]=1,J164*K164,"")</f>
        <v>0</v>
      </c>
      <c r="M164" s="72" t="str">
        <f>VLOOKUP($B164,'Standards Crosswalk'!$A:$H,3,FALSE)</f>
        <v>CSC 3</v>
      </c>
      <c r="N164" s="72">
        <f>VLOOKUP($B164,'Standards Crosswalk'!$A:$H,4,FALSE)</f>
        <v>0</v>
      </c>
      <c r="O164" s="72">
        <f>VLOOKUP($B164,'Standards Crosswalk'!$A:$H,5,FALSE)</f>
        <v>0</v>
      </c>
      <c r="P164" s="72" t="str">
        <f>VLOOKUP($B164,'Standards Crosswalk'!$A:$H,6,FALSE)</f>
        <v>DE.CM-7</v>
      </c>
      <c r="Q164" s="72">
        <f>VLOOKUP($B164,'Standards Crosswalk'!$A:$H,7,FALSE)</f>
        <v>0</v>
      </c>
      <c r="R164" s="72">
        <f>VLOOKUP($B164,'Standards Crosswalk'!$A:$H,8,FALSE)</f>
        <v>0</v>
      </c>
      <c r="S164" s="72">
        <f>VLOOKUP($B164,'Standards Crosswalk'!$A:$I,9,FALSE)</f>
        <v>0</v>
      </c>
    </row>
    <row r="165" spans="1:19" ht="166" thickBot="1" x14ac:dyDescent="0.2">
      <c r="A165" s="71">
        <f t="shared" si="5"/>
        <v>163</v>
      </c>
      <c r="B165" s="77" t="s">
        <v>329</v>
      </c>
      <c r="C165" s="78" t="str">
        <f>VLOOKUP(B165,'HECVAT - Full'!A:E,2,FALSE)</f>
        <v>Is the application available from a trusted source (e.g., iTunes App Store, Android Market, BB World)?</v>
      </c>
      <c r="D165" s="71" t="str">
        <f>VLOOKUP(B165,'HECVAT - Full'!A:E,4,FALSE)</f>
        <v>Apple App Store, Google Play Store: Pronto Team Communication</v>
      </c>
      <c r="E165" s="79" t="b">
        <f>IF(Table1[[#This Row],[Column11]]&gt;20,TRUE,FALSE)</f>
        <v>1</v>
      </c>
      <c r="F165" s="79" t="s">
        <v>2037</v>
      </c>
      <c r="G165" s="80" t="s">
        <v>16</v>
      </c>
      <c r="H165" s="81">
        <v>1</v>
      </c>
      <c r="I165" s="71" t="str">
        <f>VLOOKUP(B165,'HECVAT - Full'!A:E,3,FALSE)</f>
        <v>Yes</v>
      </c>
      <c r="J165" s="71">
        <f>IF(Table1[[#This Row],[Column7]]=Table1[[#This Row],[Column9]],1,0)</f>
        <v>1</v>
      </c>
      <c r="K165" s="71">
        <f>IF(Table1[[#This Row],[Column8]]=1,25,"")</f>
        <v>25</v>
      </c>
      <c r="L165" s="71">
        <f>IF(Table1[[#This Row],[Column8]]=1,J165*K165,"")</f>
        <v>25</v>
      </c>
      <c r="M165" s="72" t="str">
        <f>VLOOKUP($B165,'Standards Crosswalk'!$A:$H,3,FALSE)</f>
        <v>CSC 18</v>
      </c>
      <c r="N165" s="72">
        <f>VLOOKUP($B165,'Standards Crosswalk'!$A:$H,4,FALSE)</f>
        <v>0</v>
      </c>
      <c r="O165" s="72">
        <f>VLOOKUP($B165,'Standards Crosswalk'!$A:$H,5,FALSE)</f>
        <v>0</v>
      </c>
      <c r="P165" s="72" t="str">
        <f>VLOOKUP($B165,'Standards Crosswalk'!$A:$H,6,FALSE)</f>
        <v>DE.CM-7</v>
      </c>
      <c r="Q165" s="72">
        <f>VLOOKUP($B165,'Standards Crosswalk'!$A:$H,7,FALSE)</f>
        <v>0</v>
      </c>
      <c r="R165" s="72">
        <f>VLOOKUP($B165,'Standards Crosswalk'!$A:$H,8,FALSE)</f>
        <v>0</v>
      </c>
      <c r="S165" s="72">
        <f>VLOOKUP($B165,'Standards Crosswalk'!$A:$I,9,FALSE)</f>
        <v>0</v>
      </c>
    </row>
    <row r="166" spans="1:19" ht="409.6" thickBot="1" x14ac:dyDescent="0.2">
      <c r="A166" s="71">
        <f t="shared" si="5"/>
        <v>164</v>
      </c>
      <c r="B166" s="77" t="s">
        <v>330</v>
      </c>
      <c r="C166" s="78" t="str">
        <f>VLOOKUP(B166,'HECVAT - Full'!A:E,2,FALSE)</f>
        <v>Does the application store, process, or transmit critical data?</v>
      </c>
      <c r="D166" s="71" t="str">
        <f>VLOOKUP(B166,'HECVAT - Full'!A:E,4,FALSE)</f>
        <v>Transmitted data includes user profile information (name, profile picture, email/phone), message data (text, photos, videos), live video/audio (when utilizing the Pronto Meetings feature).</v>
      </c>
      <c r="E166" s="79" t="b">
        <f>IF(Table1[[#This Row],[Column11]]&gt;20,TRUE,FALSE)</f>
        <v>0</v>
      </c>
      <c r="F166" s="79" t="s">
        <v>2037</v>
      </c>
      <c r="G166" s="80" t="s">
        <v>19</v>
      </c>
      <c r="H166" s="81">
        <v>1</v>
      </c>
      <c r="I166" s="71" t="str">
        <f>VLOOKUP(B166,'HECVAT - Full'!A:E,3,FALSE)</f>
        <v>Yes</v>
      </c>
      <c r="J166" s="71">
        <f>IF(Table1[[#This Row],[Column7]]=Table1[[#This Row],[Column9]],1,0)</f>
        <v>0</v>
      </c>
      <c r="K166" s="71">
        <f>IF(Table1[[#This Row],[Column8]]=1,20,"")</f>
        <v>20</v>
      </c>
      <c r="L166" s="71">
        <f>IF(Table1[[#This Row],[Column8]]=1,J166*K166,"")</f>
        <v>0</v>
      </c>
      <c r="M166" s="72" t="str">
        <f>VLOOKUP($B166,'Standards Crosswalk'!$A:$H,3,FALSE)</f>
        <v>CSC 13, CSC 18</v>
      </c>
      <c r="N166" s="72">
        <f>VLOOKUP($B166,'Standards Crosswalk'!$A:$H,4,FALSE)</f>
        <v>0</v>
      </c>
      <c r="O166" s="72" t="str">
        <f>VLOOKUP($B166,'Standards Crosswalk'!$A:$H,5,FALSE)</f>
        <v>8.2.1; 8.2.3</v>
      </c>
      <c r="P166" s="72" t="str">
        <f>VLOOKUP($B166,'Standards Crosswalk'!$A:$H,6,FALSE)</f>
        <v>DE.CM-7, PR.DS-2</v>
      </c>
      <c r="Q166" s="72">
        <f>VLOOKUP($B166,'Standards Crosswalk'!$A:$H,7,FALSE)</f>
        <v>0</v>
      </c>
      <c r="R166" s="72">
        <f>VLOOKUP($B166,'Standards Crosswalk'!$A:$H,8,FALSE)</f>
        <v>0</v>
      </c>
      <c r="S166" s="72">
        <f>VLOOKUP($B166,'Standards Crosswalk'!$A:$I,9,FALSE)</f>
        <v>0</v>
      </c>
    </row>
    <row r="167" spans="1:19" ht="181" thickBot="1" x14ac:dyDescent="0.2">
      <c r="A167" s="71">
        <f t="shared" si="5"/>
        <v>165</v>
      </c>
      <c r="B167" s="77" t="s">
        <v>331</v>
      </c>
      <c r="C167" s="78" t="str">
        <f>VLOOKUP(B167,'HECVAT - Full'!A:E,2,FALSE)</f>
        <v>Is Institution's data encrypted in transport?</v>
      </c>
      <c r="D167" s="71" t="str">
        <f>VLOOKUP(B167,'HECVAT - Full'!A:E,4,FALSE)</f>
        <v>Encrypted data transport is required for all client/server communication</v>
      </c>
      <c r="E167" s="79" t="b">
        <f>IF(Table1[[#This Row],[Column11]]&gt;20,TRUE,FALSE)</f>
        <v>1</v>
      </c>
      <c r="F167" s="79" t="s">
        <v>2037</v>
      </c>
      <c r="G167" s="80" t="s">
        <v>16</v>
      </c>
      <c r="H167" s="81">
        <v>1</v>
      </c>
      <c r="I167" s="71" t="str">
        <f>VLOOKUP(B167,'HECVAT - Full'!A:E,3,FALSE)</f>
        <v>Yes</v>
      </c>
      <c r="J167" s="71">
        <f>IF(Table1[[#This Row],[Column7]]=Table1[[#This Row],[Column9]],1,0)</f>
        <v>1</v>
      </c>
      <c r="K167" s="71">
        <f>IF(Table1[[#This Row],[Column8]]=1,25,"")</f>
        <v>25</v>
      </c>
      <c r="L167" s="71">
        <f>IF(Table1[[#This Row],[Column8]]=1,J167*K167,"")</f>
        <v>25</v>
      </c>
      <c r="M167" s="72" t="str">
        <f>VLOOKUP($B167,'Standards Crosswalk'!$A:$H,3,FALSE)</f>
        <v>CSC 13</v>
      </c>
      <c r="N167" s="72">
        <f>VLOOKUP($B167,'Standards Crosswalk'!$A:$H,4,FALSE)</f>
        <v>0</v>
      </c>
      <c r="O167" s="72" t="str">
        <f>VLOOKUP($B167,'Standards Crosswalk'!$A:$H,5,FALSE)</f>
        <v>8.2.3</v>
      </c>
      <c r="P167" s="72" t="str">
        <f>VLOOKUP($B167,'Standards Crosswalk'!$A:$H,6,FALSE)</f>
        <v>DE.CM-7, PR.DS-2</v>
      </c>
      <c r="Q167" s="72" t="str">
        <f>VLOOKUP($B167,'Standards Crosswalk'!$A:$H,7,FALSE)</f>
        <v>3.1.19</v>
      </c>
      <c r="R167" s="72" t="str">
        <f>VLOOKUP($B167,'Standards Crosswalk'!$A:$H,8,FALSE)</f>
        <v>AC-19(5)</v>
      </c>
      <c r="S167" s="72">
        <f>VLOOKUP($B167,'Standards Crosswalk'!$A:$I,9,FALSE)</f>
        <v>4.0999999999999996</v>
      </c>
    </row>
    <row r="168" spans="1:19" ht="181" thickBot="1" x14ac:dyDescent="0.2">
      <c r="A168" s="71">
        <f t="shared" si="5"/>
        <v>166</v>
      </c>
      <c r="B168" s="77" t="s">
        <v>332</v>
      </c>
      <c r="C168" s="78" t="str">
        <f>VLOOKUP(B168,'HECVAT - Full'!A:E,2,FALSE)</f>
        <v>Is Institution's data encrypted in storage? (e.g. disk encryption, at-rest)</v>
      </c>
      <c r="D168" s="71" t="str">
        <f>VLOOKUP(B168,'HECVAT - Full'!A:E,4,FALSE)</f>
        <v>Data is stored encrypted on devices according to the Operating System.</v>
      </c>
      <c r="E168" s="79" t="b">
        <f>IF(Table1[[#This Row],[Column11]]&gt;20,TRUE,FALSE)</f>
        <v>1</v>
      </c>
      <c r="F168" s="79" t="s">
        <v>2037</v>
      </c>
      <c r="G168" s="80" t="s">
        <v>16</v>
      </c>
      <c r="H168" s="81">
        <v>1</v>
      </c>
      <c r="I168" s="71" t="str">
        <f>VLOOKUP(B168,'HECVAT - Full'!A:E,3,FALSE)</f>
        <v>Yes</v>
      </c>
      <c r="J168" s="71">
        <f>IF(Table1[[#This Row],[Column7]]=Table1[[#This Row],[Column9]],1,0)</f>
        <v>1</v>
      </c>
      <c r="K168" s="71">
        <f>IF(Table1[[#This Row],[Column8]]=1,40,"")</f>
        <v>40</v>
      </c>
      <c r="L168" s="71">
        <f>IF(Table1[[#This Row],[Column8]]=1,J168*K168,"")</f>
        <v>40</v>
      </c>
      <c r="M168" s="72" t="str">
        <f>VLOOKUP($B168,'Standards Crosswalk'!$A:$H,3,FALSE)</f>
        <v>CSC 14</v>
      </c>
      <c r="N168" s="72">
        <f>VLOOKUP($B168,'Standards Crosswalk'!$A:$H,4,FALSE)</f>
        <v>0</v>
      </c>
      <c r="O168" s="72" t="str">
        <f>VLOOKUP($B168,'Standards Crosswalk'!$A:$H,5,FALSE)</f>
        <v>8.2.3</v>
      </c>
      <c r="P168" s="72" t="str">
        <f>VLOOKUP($B168,'Standards Crosswalk'!$A:$H,6,FALSE)</f>
        <v>DE.CM-7, PR.DS-1</v>
      </c>
      <c r="Q168" s="72">
        <f>VLOOKUP($B168,'Standards Crosswalk'!$A:$H,7,FALSE)</f>
        <v>0</v>
      </c>
      <c r="R168" s="72">
        <f>VLOOKUP($B168,'Standards Crosswalk'!$A:$H,8,FALSE)</f>
        <v>0</v>
      </c>
      <c r="S168" s="72">
        <f>VLOOKUP($B168,'Standards Crosswalk'!$A:$I,9,FALSE)</f>
        <v>0</v>
      </c>
    </row>
    <row r="169" spans="1:19" ht="166" thickBot="1" x14ac:dyDescent="0.2">
      <c r="A169" s="71">
        <f t="shared" si="5"/>
        <v>167</v>
      </c>
      <c r="B169" s="77" t="s">
        <v>333</v>
      </c>
      <c r="C169" s="78" t="str">
        <f>VLOOKUP(B169,'HECVAT - Full'!A:E,2,FALSE)</f>
        <v>Does the mobile application support Kerberos, CAS, or Active Directory authentication?</v>
      </c>
      <c r="D169" s="71" t="str">
        <f>VLOOKUP(B169,'HECVAT - Full'!A:E,4,FALSE)</f>
        <v>We do not have plans to support these forms of authentication</v>
      </c>
      <c r="E169" s="79" t="b">
        <f>IF(Table1[[#This Row],[Column11]]&gt;20,TRUE,FALSE)</f>
        <v>1</v>
      </c>
      <c r="F169" s="79" t="s">
        <v>2037</v>
      </c>
      <c r="G169" s="80" t="s">
        <v>16</v>
      </c>
      <c r="H169" s="81">
        <v>1</v>
      </c>
      <c r="I169" s="71" t="str">
        <f>VLOOKUP(B169,'HECVAT - Full'!A:E,3,FALSE)</f>
        <v>No</v>
      </c>
      <c r="J169" s="71">
        <f>IF(Table1[[#This Row],[Column7]]=Table1[[#This Row],[Column9]],1,0)</f>
        <v>0</v>
      </c>
      <c r="K169" s="71">
        <f>IF(Table1[[#This Row],[Column8]]=1,25,"")</f>
        <v>25</v>
      </c>
      <c r="L169" s="71">
        <f>IF(Table1[[#This Row],[Column8]]=1,J169*K169,"")</f>
        <v>0</v>
      </c>
      <c r="M169" s="72" t="str">
        <f>VLOOKUP($B169,'Standards Crosswalk'!$A:$H,3,FALSE)</f>
        <v>CSC 16</v>
      </c>
      <c r="N169" s="72">
        <f>VLOOKUP($B169,'Standards Crosswalk'!$A:$H,4,FALSE)</f>
        <v>0</v>
      </c>
      <c r="O169" s="72" t="str">
        <f>VLOOKUP($B169,'Standards Crosswalk'!$A:$H,5,FALSE)</f>
        <v>9.4.2</v>
      </c>
      <c r="P169" s="72">
        <f>VLOOKUP($B169,'Standards Crosswalk'!$A:$H,6,FALSE)</f>
        <v>0</v>
      </c>
      <c r="Q169" s="72">
        <f>VLOOKUP($B169,'Standards Crosswalk'!$A:$H,7,FALSE)</f>
        <v>0</v>
      </c>
      <c r="R169" s="72">
        <f>VLOOKUP($B169,'Standards Crosswalk'!$A:$H,8,FALSE)</f>
        <v>0</v>
      </c>
      <c r="S169" s="72">
        <f>VLOOKUP($B169,'Standards Crosswalk'!$A:$I,9,FALSE)</f>
        <v>0</v>
      </c>
    </row>
    <row r="170" spans="1:19" ht="46" thickBot="1" x14ac:dyDescent="0.2">
      <c r="A170" s="71">
        <f t="shared" si="5"/>
        <v>168</v>
      </c>
      <c r="B170" s="77" t="s">
        <v>334</v>
      </c>
      <c r="C170" s="78" t="str">
        <f>VLOOKUP(B170,'HECVAT - Full'!A:E,2,FALSE)</f>
        <v>Will any of these systems be implemented on systems hosting the Institution's data?</v>
      </c>
      <c r="D170" s="71">
        <f>VLOOKUP(B170,'HECVAT - Full'!A:E,4,FALSE)</f>
        <v>0</v>
      </c>
      <c r="E170" s="79" t="b">
        <f>IF(Table1[[#This Row],[Column11]]&gt;20,TRUE,FALSE)</f>
        <v>0</v>
      </c>
      <c r="F170" s="79" t="s">
        <v>2037</v>
      </c>
      <c r="G170" s="80" t="s">
        <v>16</v>
      </c>
      <c r="H170" s="81">
        <v>1</v>
      </c>
      <c r="I170" s="71">
        <f>VLOOKUP(B170,'HECVAT - Full'!A:E,3,FALSE)</f>
        <v>0</v>
      </c>
      <c r="J170" s="71">
        <f>IF(VLOOKUP(Table1[[#This Row],[Column2]],'Analyst Report'!$A$41:$G$88,7,FALSE)="Yes",1,0)</f>
        <v>0</v>
      </c>
      <c r="K170" s="71">
        <f>IF(Table1[[#This Row],[Column8]]=1,20,"")</f>
        <v>20</v>
      </c>
      <c r="L170" s="71">
        <f>IF(Table1[[#This Row],[Column8]]=1,J170*K170,"")</f>
        <v>0</v>
      </c>
      <c r="M170" s="72" t="str">
        <f>VLOOKUP($B170,'Standards Crosswalk'!$A:$H,3,FALSE)</f>
        <v>CSC 16</v>
      </c>
      <c r="N170" s="72">
        <f>VLOOKUP($B170,'Standards Crosswalk'!$A:$H,4,FALSE)</f>
        <v>0</v>
      </c>
      <c r="O170" s="72">
        <f>VLOOKUP($B170,'Standards Crosswalk'!$A:$H,5,FALSE)</f>
        <v>0</v>
      </c>
      <c r="P170" s="72">
        <f>VLOOKUP($B170,'Standards Crosswalk'!$A:$H,6,FALSE)</f>
        <v>0</v>
      </c>
      <c r="Q170" s="72">
        <f>VLOOKUP($B170,'Standards Crosswalk'!$A:$H,7,FALSE)</f>
        <v>0</v>
      </c>
      <c r="R170" s="72">
        <f>VLOOKUP($B170,'Standards Crosswalk'!$A:$H,8,FALSE)</f>
        <v>0</v>
      </c>
      <c r="S170" s="72">
        <f>VLOOKUP($B170,'Standards Crosswalk'!$A:$I,9,FALSE)</f>
        <v>0</v>
      </c>
    </row>
    <row r="171" spans="1:19" ht="301" thickBot="1" x14ac:dyDescent="0.2">
      <c r="A171" s="71">
        <f t="shared" si="5"/>
        <v>169</v>
      </c>
      <c r="B171" s="77" t="s">
        <v>335</v>
      </c>
      <c r="C171" s="78" t="str">
        <f>VLOOKUP(B171,'HECVAT - Full'!A:E,2,FALSE)</f>
        <v>Does the application adhere to secure coding practices (e.g. OWASP, etc.)?</v>
      </c>
      <c r="D171" s="71" t="str">
        <f>VLOOKUP(B171,'HECVAT - Full'!A:E,4,FALSE)</f>
        <v>The development team is well versed in secure coding practices, including security by design, code reviews, and testing.</v>
      </c>
      <c r="E171" s="79" t="b">
        <f>IF(Table1[[#This Row],[Column11]]&gt;20,TRUE,FALSE)</f>
        <v>1</v>
      </c>
      <c r="F171" s="79" t="s">
        <v>2037</v>
      </c>
      <c r="G171" s="80" t="s">
        <v>16</v>
      </c>
      <c r="H171" s="81">
        <v>1</v>
      </c>
      <c r="I171" s="71" t="str">
        <f>VLOOKUP(B171,'HECVAT - Full'!A:E,3,FALSE)</f>
        <v>Yes</v>
      </c>
      <c r="J171" s="71">
        <f>IF(Table1[[#This Row],[Column7]]=Table1[[#This Row],[Column9]],1,0)</f>
        <v>1</v>
      </c>
      <c r="K171" s="71">
        <f>IF(Table1[[#This Row],[Column8]]=1,25,"")</f>
        <v>25</v>
      </c>
      <c r="L171" s="71">
        <f>IF(Table1[[#This Row],[Column8]]=1,J171*K171,"")</f>
        <v>25</v>
      </c>
      <c r="M171" s="72" t="str">
        <f>VLOOKUP($B171,'Standards Crosswalk'!$A:$H,3,FALSE)</f>
        <v>CSC 18</v>
      </c>
      <c r="N171" s="72">
        <f>VLOOKUP($B171,'Standards Crosswalk'!$A:$H,4,FALSE)</f>
        <v>0</v>
      </c>
      <c r="O171" s="72" t="str">
        <f>VLOOKUP($B171,'Standards Crosswalk'!$A:$H,5,FALSE)</f>
        <v>14.2.1</v>
      </c>
      <c r="P171" s="72" t="str">
        <f>VLOOKUP($B171,'Standards Crosswalk'!$A:$H,6,FALSE)</f>
        <v>DE.CM-7</v>
      </c>
      <c r="Q171" s="72">
        <f>VLOOKUP($B171,'Standards Crosswalk'!$A:$H,7,FALSE)</f>
        <v>0</v>
      </c>
      <c r="R171" s="72">
        <f>VLOOKUP($B171,'Standards Crosswalk'!$A:$H,8,FALSE)</f>
        <v>0</v>
      </c>
      <c r="S171" s="72">
        <f>VLOOKUP($B171,'Standards Crosswalk'!$A:$I,9,FALSE)</f>
        <v>0</v>
      </c>
    </row>
    <row r="172" spans="1:19" ht="371" thickBot="1" x14ac:dyDescent="0.2">
      <c r="A172" s="71">
        <f t="shared" si="5"/>
        <v>170</v>
      </c>
      <c r="B172" s="77" t="s">
        <v>336</v>
      </c>
      <c r="C172" s="78" t="str">
        <f>VLOOKUP(B172,'HECVAT - Full'!A:E,2,FALSE)</f>
        <v>Has the application been tested for vulnerabilities by a third party?</v>
      </c>
      <c r="D172" s="71" t="str">
        <f>VLOOKUP(B172,'HECVAT - Full'!A:E,4,FALSE)</f>
        <v>While we do have plans to perform vulnerability testing on our server applications, we do not currently have plans for mobile app vulnerability testing.</v>
      </c>
      <c r="E172" s="79" t="b">
        <f>IF(Table1[[#This Row],[Column11]]&gt;20,TRUE,FALSE)</f>
        <v>1</v>
      </c>
      <c r="F172" s="79" t="s">
        <v>2037</v>
      </c>
      <c r="G172" s="80" t="s">
        <v>16</v>
      </c>
      <c r="H172" s="81">
        <v>1</v>
      </c>
      <c r="I172" s="71" t="str">
        <f>VLOOKUP(B172,'HECVAT - Full'!A:E,3,FALSE)</f>
        <v>No</v>
      </c>
      <c r="J172" s="71">
        <f>IF(Table1[[#This Row],[Column7]]=Table1[[#This Row],[Column9]],1,0)</f>
        <v>0</v>
      </c>
      <c r="K172" s="71">
        <f>IF(Table1[[#This Row],[Column8]]=1,25,"")</f>
        <v>25</v>
      </c>
      <c r="L172" s="71">
        <f>IF(Table1[[#This Row],[Column8]]=1,J172*K172,"")</f>
        <v>0</v>
      </c>
      <c r="M172" s="72" t="str">
        <f>VLOOKUP($B172,'Standards Crosswalk'!$A:$H,3,FALSE)</f>
        <v>CSC 18</v>
      </c>
      <c r="N172" s="72">
        <f>VLOOKUP($B172,'Standards Crosswalk'!$A:$H,4,FALSE)</f>
        <v>0</v>
      </c>
      <c r="O172" s="72" t="str">
        <f>VLOOKUP($B172,'Standards Crosswalk'!$A:$H,5,FALSE)</f>
        <v>12.7.1, 18.2.1</v>
      </c>
      <c r="P172" s="72" t="str">
        <f>VLOOKUP($B172,'Standards Crosswalk'!$A:$H,6,FALSE)</f>
        <v>DE.CM-7, DE.CM-8, ID.RA-1</v>
      </c>
      <c r="Q172" s="72">
        <f>VLOOKUP($B172,'Standards Crosswalk'!$A:$H,7,FALSE)</f>
        <v>0</v>
      </c>
      <c r="R172" s="72">
        <f>VLOOKUP($B172,'Standards Crosswalk'!$A:$H,8,FALSE)</f>
        <v>0</v>
      </c>
      <c r="S172" s="72">
        <f>VLOOKUP($B172,'Standards Crosswalk'!$A:$I,9,FALSE)</f>
        <v>0</v>
      </c>
    </row>
    <row r="173" spans="1:19" ht="46" thickBot="1" x14ac:dyDescent="0.2">
      <c r="A173" s="71">
        <f t="shared" si="5"/>
        <v>171</v>
      </c>
      <c r="B173" s="77" t="s">
        <v>554</v>
      </c>
      <c r="C173" s="78" t="str">
        <f>VLOOKUP(B173,'HECVAT - Full'!A:E,2,FALSE)</f>
        <v>State the party that performed the vulnerability test and the date it was conducted?</v>
      </c>
      <c r="D173" s="71">
        <f>VLOOKUP(B173,'HECVAT - Full'!A:E,4,FALSE)</f>
        <v>0</v>
      </c>
      <c r="E173" s="79" t="b">
        <f>IF(Table1[[#This Row],[Column11]]&gt;20,TRUE,FALSE)</f>
        <v>1</v>
      </c>
      <c r="F173" s="79" t="s">
        <v>2037</v>
      </c>
      <c r="G173" s="80" t="s">
        <v>16</v>
      </c>
      <c r="H173" s="81">
        <v>1</v>
      </c>
      <c r="I173" s="71">
        <f>VLOOKUP(B173,'HECVAT - Full'!A:E,3,FALSE)</f>
        <v>0</v>
      </c>
      <c r="J173" s="71">
        <f>IF(VLOOKUP(Table1[[#This Row],[Column2]],'Analyst Report'!$A$41:$G$88,7,FALSE)="Yes",1,0)</f>
        <v>0</v>
      </c>
      <c r="K173" s="71">
        <f>IF(Table1[[#This Row],[Column8]]=1,25,"")</f>
        <v>25</v>
      </c>
      <c r="L173" s="71">
        <f>IF(Table1[[#This Row],[Column8]]=1,J173*K173,"")</f>
        <v>0</v>
      </c>
      <c r="M173" s="72" t="str">
        <f>VLOOKUP($B173,'Standards Crosswalk'!$A:$H,3,FALSE)</f>
        <v>CSC 18</v>
      </c>
      <c r="N173" s="72">
        <f>VLOOKUP($B173,'Standards Crosswalk'!$A:$H,4,FALSE)</f>
        <v>0</v>
      </c>
      <c r="O173" s="72" t="str">
        <f>VLOOKUP($B173,'Standards Crosswalk'!$A:$H,5,FALSE)</f>
        <v>12.7.1, 18.2.1</v>
      </c>
      <c r="P173" s="72" t="str">
        <f>VLOOKUP($B173,'Standards Crosswalk'!$A:$H,6,FALSE)</f>
        <v>DE.CM-7, DE.CM-8, ID.RA-1</v>
      </c>
      <c r="Q173" s="72">
        <f>VLOOKUP($B173,'Standards Crosswalk'!$A:$H,7,FALSE)</f>
        <v>0</v>
      </c>
      <c r="R173" s="72">
        <f>VLOOKUP($B173,'Standards Crosswalk'!$A:$H,8,FALSE)</f>
        <v>0</v>
      </c>
      <c r="S173" s="72">
        <f>VLOOKUP($B173,'Standards Crosswalk'!$A:$I,9,FALSE)</f>
        <v>0</v>
      </c>
    </row>
    <row r="174" spans="1:19" ht="106" thickBot="1" x14ac:dyDescent="0.2">
      <c r="A174" s="71">
        <f t="shared" si="5"/>
        <v>172</v>
      </c>
      <c r="B174" s="77" t="s">
        <v>337</v>
      </c>
      <c r="C174" s="78" t="str">
        <f>VLOOKUP(B174,'HECVAT - Full'!A:E,2,FALSE)</f>
        <v>Does your organization have physical security controls and policies in place?</v>
      </c>
      <c r="D174" s="71" t="str">
        <f>VLOOKUP(B174,'HECVAT - Full'!A:E,4,FALSE)</f>
        <v>Please see Information Security Policy</v>
      </c>
      <c r="E174" s="79" t="b">
        <f>IF(Table1[[#This Row],[Column11]]&gt;20,TRUE,FALSE)</f>
        <v>0</v>
      </c>
      <c r="F174" s="79" t="s">
        <v>2038</v>
      </c>
      <c r="G174" s="98" t="s">
        <v>16</v>
      </c>
      <c r="H174" s="81">
        <v>1</v>
      </c>
      <c r="I174" s="71" t="str">
        <f>VLOOKUP(B174,'HECVAT - Full'!A:E,3,FALSE)</f>
        <v>Yes</v>
      </c>
      <c r="J174" s="71">
        <f>IF(Table1[[#This Row],[Column7]]=Table1[[#This Row],[Column9]],1,0)</f>
        <v>1</v>
      </c>
      <c r="K174" s="71">
        <f>IF(Table1[[#This Row],[Column8]]=1,20,"")</f>
        <v>20</v>
      </c>
      <c r="L174" s="71">
        <f>IF(Table1[[#This Row],[Column8]]=1,J174*K174,"")</f>
        <v>20</v>
      </c>
      <c r="M174" s="72" t="str">
        <f>VLOOKUP($B174,'Standards Crosswalk'!$A:$H,3,FALSE)</f>
        <v>CSC 3</v>
      </c>
      <c r="N174" s="72">
        <f>VLOOKUP($B174,'Standards Crosswalk'!$A:$H,4,FALSE)</f>
        <v>0</v>
      </c>
      <c r="O174" s="72" t="str">
        <f>VLOOKUP($B174,'Standards Crosswalk'!$A:$H,5,FALSE)</f>
        <v>11.1.1</v>
      </c>
      <c r="P174" s="72" t="str">
        <f>VLOOKUP($B174,'Standards Crosswalk'!$A:$H,6,FALSE)</f>
        <v>PR.AC-2, PR.AT-5, PR.IP-5, DE.CM-2</v>
      </c>
      <c r="Q174" s="72" t="str">
        <f>VLOOKUP($B174,'Standards Crosswalk'!$A:$H,7,FALSE)</f>
        <v>3.8.2, 3.10.1, 3.10.2, 3.10.5, 3.10.6, 3.12.1</v>
      </c>
      <c r="R174" s="72" t="str">
        <f>VLOOKUP($B174,'Standards Crosswalk'!$A:$H,8,FALSE)</f>
        <v>MP-4, PE-2, PE-5, PE-6, PE-17</v>
      </c>
      <c r="S174" s="72" t="str">
        <f>VLOOKUP($B174,'Standards Crosswalk'!$A:$I,9,FALSE)</f>
        <v>9.x</v>
      </c>
    </row>
    <row r="175" spans="1:19" ht="409.6" thickBot="1" x14ac:dyDescent="0.2">
      <c r="A175" s="71">
        <f t="shared" si="5"/>
        <v>173</v>
      </c>
      <c r="B175" s="77" t="s">
        <v>338</v>
      </c>
      <c r="C175" s="78" t="str">
        <f>VLOOKUP(B175,'HECVAT - Full'!A:E,2,FALSE)</f>
        <v>Are employees allowed to take home Institution's data in any form?</v>
      </c>
      <c r="D175" s="71" t="str">
        <f>VLOOKUP(B175,'HECVAT - Full'!A:E,4,FALSE)</f>
        <v>As Hit Labs employees work remotely, limited Development Operations staff have access to Institution's data from their homes. This data is protected through both policy and technical safeguards:
1. Criminal background checks are performed on new hires
2. Institution data may only be accessed via company-controlled laptops (no mobile phones), which, via enforced machine policy, require full-disk encryption, complex rotating passwords, and aggressive screen locking.
3. Institution data must be accessed via a secure VPN that requires hardware-based MFA.
4. Institution data may not be exported to external devices
5. Institution data may not be retained on employee's hard drive except temporarily as needed to accomplish a specfic, approved task, and then deleted.
For full details see Information Security Policy</v>
      </c>
      <c r="E175" s="79" t="b">
        <f>IF(Table1[[#This Row],[Column11]]&gt;20,TRUE,FALSE)</f>
        <v>1</v>
      </c>
      <c r="F175" s="79" t="s">
        <v>2038</v>
      </c>
      <c r="G175" s="80" t="s">
        <v>19</v>
      </c>
      <c r="H175" s="81">
        <v>1</v>
      </c>
      <c r="I175" s="71" t="str">
        <f>VLOOKUP(B175,'HECVAT - Full'!A:E,3,FALSE)</f>
        <v>Yes</v>
      </c>
      <c r="J175" s="71">
        <f>IF(Table1[[#This Row],[Column7]]=Table1[[#This Row],[Column9]],1,0)</f>
        <v>0</v>
      </c>
      <c r="K175" s="71">
        <f>IF(Table1[[#This Row],[Column8]]=1,25,"")</f>
        <v>25</v>
      </c>
      <c r="L175" s="71">
        <f>IF(Table1[[#This Row],[Column8]]=1,J175*K175,"")</f>
        <v>0</v>
      </c>
      <c r="M175" s="72" t="str">
        <f>VLOOKUP($B175,'Standards Crosswalk'!$A:$H,3,FALSE)</f>
        <v>CSC 13</v>
      </c>
      <c r="N175" s="72">
        <f>VLOOKUP($B175,'Standards Crosswalk'!$A:$H,4,FALSE)</f>
        <v>0</v>
      </c>
      <c r="O175" s="72" t="str">
        <f>VLOOKUP($B175,'Standards Crosswalk'!$A:$H,5,FALSE)</f>
        <v>8.2.3</v>
      </c>
      <c r="P175" s="72" t="str">
        <f>VLOOKUP($B175,'Standards Crosswalk'!$A:$H,6,FALSE)</f>
        <v>PR.AC-2, PR.AC-4, PR.DS-1, PR.DS-3, PR.DS-5</v>
      </c>
      <c r="Q175" s="72" t="str">
        <f>VLOOKUP($B175,'Standards Crosswalk'!$A:$H,7,FALSE)</f>
        <v>3.8.1, 3.8.5, 3.8.7</v>
      </c>
      <c r="R175" s="72" t="str">
        <f>VLOOKUP($B175,'Standards Crosswalk'!$A:$H,8,FALSE)</f>
        <v>MP-2, MP-5, MP-7</v>
      </c>
      <c r="S175" s="72" t="str">
        <f>VLOOKUP($B175,'Standards Crosswalk'!$A:$I,9,FALSE)</f>
        <v>12.1, 9.x</v>
      </c>
    </row>
    <row r="176" spans="1:19" ht="166" thickBot="1" x14ac:dyDescent="0.2">
      <c r="A176" s="71">
        <f t="shared" si="5"/>
        <v>174</v>
      </c>
      <c r="B176" s="77" t="s">
        <v>339</v>
      </c>
      <c r="C176" s="78" t="str">
        <f>VLOOKUP(B176,'HECVAT - Full'!A:E,2,FALSE)</f>
        <v>Are video monitoring feeds retained?</v>
      </c>
      <c r="D176" s="71" t="str">
        <f>VLOOKUP(B176,'HECVAT - Full'!A:E,4,FALSE)</f>
        <v>Please see https://aws.amazon.com/compliance/data-center/controls/</v>
      </c>
      <c r="E176" s="79" t="b">
        <f>IF(Table1[[#This Row],[Column11]]&gt;20,TRUE,FALSE)</f>
        <v>0</v>
      </c>
      <c r="F176" s="79" t="s">
        <v>2038</v>
      </c>
      <c r="G176" s="80" t="s">
        <v>16</v>
      </c>
      <c r="H176" s="81">
        <v>1</v>
      </c>
      <c r="I176" s="71" t="str">
        <f>VLOOKUP(B176,'HECVAT - Full'!A:E,3,FALSE)</f>
        <v>Yes</v>
      </c>
      <c r="J176" s="71">
        <f>IF(Table1[[#This Row],[Column7]]=Table1[[#This Row],[Column9]],1,0)</f>
        <v>1</v>
      </c>
      <c r="K176" s="71">
        <f>IF(Table1[[#This Row],[Column8]]=1,20,"")</f>
        <v>20</v>
      </c>
      <c r="L176" s="71">
        <f>IF(Table1[[#This Row],[Column8]]=1,J176*K176,"")</f>
        <v>20</v>
      </c>
      <c r="M176" s="72" t="str">
        <f>VLOOKUP($B176,'Standards Crosswalk'!$A:$H,3,FALSE)</f>
        <v>CSC 3</v>
      </c>
      <c r="N176" s="72">
        <f>VLOOKUP($B176,'Standards Crosswalk'!$A:$H,4,FALSE)</f>
        <v>0</v>
      </c>
      <c r="O176" s="72" t="str">
        <f>VLOOKUP($B176,'Standards Crosswalk'!$A:$H,5,FALSE)</f>
        <v>11.1.2, 11.1.3</v>
      </c>
      <c r="P176" s="72" t="str">
        <f>VLOOKUP($B176,'Standards Crosswalk'!$A:$H,6,FALSE)</f>
        <v>DE.CM-2</v>
      </c>
      <c r="Q176" s="72" t="str">
        <f>VLOOKUP($B176,'Standards Crosswalk'!$A:$H,7,FALSE)</f>
        <v>3.10.2</v>
      </c>
      <c r="R176" s="72" t="str">
        <f>VLOOKUP($B176,'Standards Crosswalk'!$A:$H,8,FALSE)</f>
        <v>PE-6</v>
      </c>
      <c r="S176" s="72" t="str">
        <f>VLOOKUP($B176,'Standards Crosswalk'!$A:$I,9,FALSE)</f>
        <v>9.x</v>
      </c>
    </row>
    <row r="177" spans="1:19" ht="166" thickBot="1" x14ac:dyDescent="0.2">
      <c r="A177" s="71">
        <f t="shared" si="5"/>
        <v>175</v>
      </c>
      <c r="B177" s="77" t="s">
        <v>340</v>
      </c>
      <c r="C177" s="78" t="str">
        <f>VLOOKUP(B177,'HECVAT - Full'!A:E,2,FALSE)</f>
        <v>Are video feeds monitored by datacenter staff?</v>
      </c>
      <c r="D177" s="71" t="str">
        <f>VLOOKUP(B177,'HECVAT - Full'!A:E,4,FALSE)</f>
        <v>Please see https://aws.amazon.com/compliance/data-center/controls/</v>
      </c>
      <c r="E177" s="79" t="b">
        <f>IF(Table1[[#This Row],[Column11]]&gt;20,TRUE,FALSE)</f>
        <v>0</v>
      </c>
      <c r="F177" s="79" t="s">
        <v>2038</v>
      </c>
      <c r="G177" s="80" t="s">
        <v>16</v>
      </c>
      <c r="H177" s="81">
        <v>1</v>
      </c>
      <c r="I177" s="71" t="str">
        <f>VLOOKUP(B177,'HECVAT - Full'!A:E,3,FALSE)</f>
        <v>Yes</v>
      </c>
      <c r="J177" s="71">
        <f>IF(Table1[[#This Row],[Column7]]=Table1[[#This Row],[Column9]],1,0)</f>
        <v>1</v>
      </c>
      <c r="K177" s="71">
        <f>IF(Table1[[#This Row],[Column8]]=1,20,"")</f>
        <v>20</v>
      </c>
      <c r="L177" s="71">
        <f>IF(Table1[[#This Row],[Column8]]=1,J177*K177,"")</f>
        <v>20</v>
      </c>
      <c r="M177" s="72" t="str">
        <f>VLOOKUP($B177,'Standards Crosswalk'!$A:$H,3,FALSE)</f>
        <v>CSC 3</v>
      </c>
      <c r="N177" s="72">
        <f>VLOOKUP($B177,'Standards Crosswalk'!$A:$H,4,FALSE)</f>
        <v>0</v>
      </c>
      <c r="O177" s="72" t="str">
        <f>VLOOKUP($B177,'Standards Crosswalk'!$A:$H,5,FALSE)</f>
        <v>11.1.2,  11.1.3</v>
      </c>
      <c r="P177" s="72" t="str">
        <f>VLOOKUP($B177,'Standards Crosswalk'!$A:$H,6,FALSE)</f>
        <v>DE.CM-2</v>
      </c>
      <c r="Q177" s="72" t="str">
        <f>VLOOKUP($B177,'Standards Crosswalk'!$A:$H,7,FALSE)</f>
        <v>3.10.2</v>
      </c>
      <c r="R177" s="72" t="str">
        <f>VLOOKUP($B177,'Standards Crosswalk'!$A:$H,8,FALSE)</f>
        <v>PE-6</v>
      </c>
      <c r="S177" s="72" t="str">
        <f>VLOOKUP($B177,'Standards Crosswalk'!$A:$I,9,FALSE)</f>
        <v>9.x</v>
      </c>
    </row>
    <row r="178" spans="1:19" ht="166" thickBot="1" x14ac:dyDescent="0.2">
      <c r="A178" s="71">
        <f t="shared" si="5"/>
        <v>176</v>
      </c>
      <c r="B178" s="77" t="s">
        <v>341</v>
      </c>
      <c r="C178" s="78" t="str">
        <f>VLOOKUP(B178,'HECVAT - Full'!A:E,2,FALSE)</f>
        <v>Are individuals required to sign in/out for installation and removal of equipment?</v>
      </c>
      <c r="D178" s="71" t="str">
        <f>VLOOKUP(B178,'HECVAT - Full'!A:E,4,FALSE)</f>
        <v>Please see https://aws.amazon.com/compliance/data-center/controls/</v>
      </c>
      <c r="E178" s="79" t="b">
        <f>IF(Table1[[#This Row],[Column11]]&gt;20,TRUE,FALSE)</f>
        <v>0</v>
      </c>
      <c r="F178" s="79" t="s">
        <v>2038</v>
      </c>
      <c r="G178" s="80" t="s">
        <v>16</v>
      </c>
      <c r="H178" s="81">
        <v>1</v>
      </c>
      <c r="I178" s="71" t="str">
        <f>VLOOKUP(B178,'HECVAT - Full'!A:E,3,FALSE)</f>
        <v>Yes</v>
      </c>
      <c r="J178" s="71">
        <f>IF(Table1[[#This Row],[Column7]]=Table1[[#This Row],[Column9]],1,0)</f>
        <v>1</v>
      </c>
      <c r="K178" s="71">
        <f>IF(Table1[[#This Row],[Column8]]=1,15,"")</f>
        <v>15</v>
      </c>
      <c r="L178" s="71">
        <f>IF(Table1[[#This Row],[Column8]]=1,J178*K178,"")</f>
        <v>15</v>
      </c>
      <c r="M178" s="72" t="str">
        <f>VLOOKUP($B178,'Standards Crosswalk'!$A:$H,3,FALSE)</f>
        <v>CSC 14</v>
      </c>
      <c r="N178" s="72">
        <f>VLOOKUP($B178,'Standards Crosswalk'!$A:$H,4,FALSE)</f>
        <v>0</v>
      </c>
      <c r="O178" s="72" t="str">
        <f>VLOOKUP($B178,'Standards Crosswalk'!$A:$H,5,FALSE)</f>
        <v>11.1.2</v>
      </c>
      <c r="P178" s="72" t="str">
        <f>VLOOKUP($B178,'Standards Crosswalk'!$A:$H,6,FALSE)</f>
        <v>PR.DS-3</v>
      </c>
      <c r="Q178" s="72" t="str">
        <f>VLOOKUP($B178,'Standards Crosswalk'!$A:$H,7,FALSE)</f>
        <v>3.7.3, 3.8.1, 3.8.5, 3.8.7, 3.10.3</v>
      </c>
      <c r="R178" s="72" t="str">
        <f>VLOOKUP($B178,'Standards Crosswalk'!$A:$H,8,FALSE)</f>
        <v>MP-2, MP-5, MP-7</v>
      </c>
      <c r="S178" s="72" t="str">
        <f>VLOOKUP($B178,'Standards Crosswalk'!$A:$I,9,FALSE)</f>
        <v>9.x</v>
      </c>
    </row>
    <row r="179" spans="1:19" ht="409.6" thickBot="1" x14ac:dyDescent="0.2">
      <c r="A179" s="71">
        <f t="shared" si="5"/>
        <v>177</v>
      </c>
      <c r="B179" s="77" t="s">
        <v>342</v>
      </c>
      <c r="C179" s="78" t="str">
        <f>VLOOKUP(B179,'HECVAT - Full'!A:E,2,FALSE)</f>
        <v>Can you share the organization chart, mission statement, and policies for your information security unit?</v>
      </c>
      <c r="D179" s="71" t="str">
        <f>VLOOKUP(B179,'HECVAT - Full'!A:E,4,FALSE)</f>
        <v>We do not have a seperate information security unit. However, security plays an important role in all aspects of Development, DevOps, and 3rd party security oversight. Please see our information security policy for details.</v>
      </c>
      <c r="E179" s="79" t="b">
        <f>IF(Table1[[#This Row],[Column11]]&gt;20,TRUE,FALSE)</f>
        <v>0</v>
      </c>
      <c r="F179" s="79" t="s">
        <v>2039</v>
      </c>
      <c r="G179" s="98" t="s">
        <v>16</v>
      </c>
      <c r="H179" s="81">
        <v>1</v>
      </c>
      <c r="I179" s="71" t="str">
        <f>VLOOKUP(B179,'HECVAT - Full'!A:E,3,FALSE)</f>
        <v>No</v>
      </c>
      <c r="J179" s="71">
        <f>IF(Table1[[#This Row],[Column7]]=Table1[[#This Row],[Column9]],1,0)</f>
        <v>0</v>
      </c>
      <c r="K179" s="71">
        <f>IF(Table1[[#This Row],[Column8]]=1,20,"")</f>
        <v>20</v>
      </c>
      <c r="L179" s="71">
        <f>IF(Table1[[#This Row],[Column8]]=1,J179*K179,"")</f>
        <v>0</v>
      </c>
      <c r="M179" s="72">
        <f>VLOOKUP($B179,'Standards Crosswalk'!$A:$H,3,FALSE)</f>
        <v>0</v>
      </c>
      <c r="N179" s="72">
        <f>VLOOKUP($B179,'Standards Crosswalk'!$A:$H,4,FALSE)</f>
        <v>0</v>
      </c>
      <c r="O179" s="72" t="str">
        <f>VLOOKUP($B179,'Standards Crosswalk'!$A:$H,5,FALSE)</f>
        <v>5.1.1</v>
      </c>
      <c r="P179" s="72" t="str">
        <f>VLOOKUP($B179,'Standards Crosswalk'!$A:$H,6,FALSE)</f>
        <v>ID.GV-2</v>
      </c>
      <c r="Q179" s="72" t="str">
        <f>VLOOKUP($B179,'Standards Crosswalk'!$A:$H,7,FALSE)</f>
        <v>3.9.1, 3.9.2</v>
      </c>
      <c r="R179" s="72" t="str">
        <f>VLOOKUP($B179,'Standards Crosswalk'!$A:$H,8,FALSE)</f>
        <v>PM-2, PM-10, SI-5, CA-5, PM-1</v>
      </c>
      <c r="S179" s="72" t="str">
        <f>VLOOKUP($B179,'Standards Crosswalk'!$A:$I,9,FALSE)</f>
        <v>12.4, 12.5</v>
      </c>
    </row>
    <row r="180" spans="1:19" ht="106" thickBot="1" x14ac:dyDescent="0.2">
      <c r="A180" s="71">
        <f t="shared" si="5"/>
        <v>178</v>
      </c>
      <c r="B180" s="77" t="s">
        <v>343</v>
      </c>
      <c r="C180" s="78" t="str">
        <f>VLOOKUP(B180,'HECVAT - Full'!A:E,2,FALSE)</f>
        <v>Do you have a documented patch management process?</v>
      </c>
      <c r="D180" s="71" t="str">
        <f>VLOOKUP(B180,'HECVAT - Full'!A:E,4,FALSE)</f>
        <v>Please see Information Security Policy</v>
      </c>
      <c r="E180" s="79" t="b">
        <f>IF(Table1[[#This Row],[Column11]]&gt;20,TRUE,FALSE)</f>
        <v>1</v>
      </c>
      <c r="F180" s="79" t="s">
        <v>2039</v>
      </c>
      <c r="G180" s="80" t="s">
        <v>16</v>
      </c>
      <c r="H180" s="81">
        <v>1</v>
      </c>
      <c r="I180" s="71" t="str">
        <f>VLOOKUP(B180,'HECVAT - Full'!A:E,3,FALSE)</f>
        <v>Yes</v>
      </c>
      <c r="J180" s="71">
        <f>IF(Table1[[#This Row],[Column7]]=Table1[[#This Row],[Column9]],1,0)</f>
        <v>1</v>
      </c>
      <c r="K180" s="71">
        <f>IF(Table1[[#This Row],[Column8]]=1,25,"")</f>
        <v>25</v>
      </c>
      <c r="L180" s="71">
        <f>IF(Table1[[#This Row],[Column8]]=1,J180*K180,"")</f>
        <v>25</v>
      </c>
      <c r="M180" s="72" t="str">
        <f>VLOOKUP($B180,'Standards Crosswalk'!$A:$H,3,FALSE)</f>
        <v>CSC 4</v>
      </c>
      <c r="N180" s="72">
        <f>VLOOKUP($B180,'Standards Crosswalk'!$A:$H,4,FALSE)</f>
        <v>0</v>
      </c>
      <c r="O180" s="72" t="str">
        <f>VLOOKUP($B180,'Standards Crosswalk'!$A:$H,5,FALSE)</f>
        <v>12.6.1</v>
      </c>
      <c r="P180" s="72" t="str">
        <f>VLOOKUP($B180,'Standards Crosswalk'!$A:$H,6,FALSE)</f>
        <v>PR.IP-12</v>
      </c>
      <c r="Q180" s="72">
        <f>VLOOKUP($B180,'Standards Crosswalk'!$A:$H,7,FALSE)</f>
        <v>0</v>
      </c>
      <c r="R180" s="72" t="str">
        <f>VLOOKUP($B180,'Standards Crosswalk'!$A:$H,8,FALSE)</f>
        <v>CA-5, PM-1</v>
      </c>
      <c r="S180" s="72" t="str">
        <f>VLOOKUP($B180,'Standards Crosswalk'!$A:$I,9,FALSE)</f>
        <v>6.4.5</v>
      </c>
    </row>
    <row r="181" spans="1:19" ht="136" thickBot="1" x14ac:dyDescent="0.2">
      <c r="A181" s="71">
        <f t="shared" si="5"/>
        <v>179</v>
      </c>
      <c r="B181" s="77" t="s">
        <v>344</v>
      </c>
      <c r="C181" s="78" t="str">
        <f>VLOOKUP(B181,'HECVAT - Full'!A:E,2,FALSE)</f>
        <v>Can you accommodate encryption requirements using open standards?</v>
      </c>
      <c r="D181" s="71" t="str">
        <f>VLOOKUP(B181,'HECVAT - Full'!A:E,4,FALSE)</f>
        <v>Hit Labs utilizes only open standards for encryption.</v>
      </c>
      <c r="E181" s="79" t="b">
        <f>IF(Table1[[#This Row],[Column11]]&gt;20,TRUE,FALSE)</f>
        <v>0</v>
      </c>
      <c r="F181" s="79" t="s">
        <v>2039</v>
      </c>
      <c r="G181" s="80" t="s">
        <v>16</v>
      </c>
      <c r="H181" s="81">
        <v>1</v>
      </c>
      <c r="I181" s="71" t="str">
        <f>VLOOKUP(B181,'HECVAT - Full'!A:E,3,FALSE)</f>
        <v>Yes</v>
      </c>
      <c r="J181" s="71">
        <f>IF(Table1[[#This Row],[Column7]]=Table1[[#This Row],[Column9]],1,0)</f>
        <v>1</v>
      </c>
      <c r="K181" s="71">
        <f>IF(Table1[[#This Row],[Column8]]=1,20,"")</f>
        <v>20</v>
      </c>
      <c r="L181" s="71">
        <f>IF(Table1[[#This Row],[Column8]]=1,J181*K181,"")</f>
        <v>20</v>
      </c>
      <c r="M181" s="72" t="str">
        <f>VLOOKUP($B181,'Standards Crosswalk'!$A:$H,3,FALSE)</f>
        <v>CSC 13</v>
      </c>
      <c r="N181" s="72">
        <f>VLOOKUP($B181,'Standards Crosswalk'!$A:$H,4,FALSE)</f>
        <v>0</v>
      </c>
      <c r="O181" s="72" t="str">
        <f>VLOOKUP($B181,'Standards Crosswalk'!$A:$H,5,FALSE)</f>
        <v>10.1.1, 18.1.5</v>
      </c>
      <c r="P181" s="72">
        <f>VLOOKUP($B181,'Standards Crosswalk'!$A:$H,6,FALSE)</f>
        <v>0</v>
      </c>
      <c r="Q181" s="72">
        <f>VLOOKUP($B181,'Standards Crosswalk'!$A:$H,7,FALSE)</f>
        <v>0</v>
      </c>
      <c r="R181" s="72" t="str">
        <f>VLOOKUP($B181,'Standards Crosswalk'!$A:$H,8,FALSE)</f>
        <v>CA-5, PM-1</v>
      </c>
      <c r="S181" s="72">
        <f>VLOOKUP($B181,'Standards Crosswalk'!$A:$I,9,FALSE)</f>
        <v>0</v>
      </c>
    </row>
    <row r="182" spans="1:19" ht="151" thickBot="1" x14ac:dyDescent="0.2">
      <c r="A182" s="71">
        <f t="shared" si="5"/>
        <v>180</v>
      </c>
      <c r="B182" s="77" t="s">
        <v>345</v>
      </c>
      <c r="C182" s="78" t="str">
        <f>VLOOKUP(B182,'HECVAT - Full'!A:E,2,FALSE)</f>
        <v>Have your developers been trained in secure coding techniques?</v>
      </c>
      <c r="D182" s="71" t="str">
        <f>VLOOKUP(B182,'HECVAT - Full'!A:E,4,FALSE)</f>
        <v xml:space="preserve">Our engineering team follows the principles of OWASP. </v>
      </c>
      <c r="E182" s="79" t="b">
        <f>IF(Table1[[#This Row],[Column11]]&gt;20,TRUE,FALSE)</f>
        <v>1</v>
      </c>
      <c r="F182" s="79" t="s">
        <v>2039</v>
      </c>
      <c r="G182" s="80" t="s">
        <v>16</v>
      </c>
      <c r="H182" s="81">
        <v>1</v>
      </c>
      <c r="I182" s="71" t="str">
        <f>VLOOKUP(B182,'HECVAT - Full'!A:E,3,FALSE)</f>
        <v>Yes</v>
      </c>
      <c r="J182" s="71">
        <f>IF(Table1[[#This Row],[Column7]]=Table1[[#This Row],[Column9]],1,0)</f>
        <v>1</v>
      </c>
      <c r="K182" s="71">
        <f>IF(Table1[[#This Row],[Column8]]=1,25,"")</f>
        <v>25</v>
      </c>
      <c r="L182" s="71">
        <f>IF(Table1[[#This Row],[Column8]]=1,J182*K182,"")</f>
        <v>25</v>
      </c>
      <c r="M182" s="72" t="str">
        <f>VLOOKUP($B182,'Standards Crosswalk'!$A:$H,3,FALSE)</f>
        <v>CSC 4, CSC 17</v>
      </c>
      <c r="N182" s="72">
        <f>VLOOKUP($B182,'Standards Crosswalk'!$A:$H,4,FALSE)</f>
        <v>0</v>
      </c>
      <c r="O182" s="72" t="str">
        <f>VLOOKUP($B182,'Standards Crosswalk'!$A:$H,5,FALSE)</f>
        <v>14.2.1</v>
      </c>
      <c r="P182" s="72">
        <f>VLOOKUP($B182,'Standards Crosswalk'!$A:$H,6,FALSE)</f>
        <v>0</v>
      </c>
      <c r="Q182" s="72">
        <f>VLOOKUP($B182,'Standards Crosswalk'!$A:$H,7,FALSE)</f>
        <v>0</v>
      </c>
      <c r="R182" s="72" t="str">
        <f>VLOOKUP($B182,'Standards Crosswalk'!$A:$H,8,FALSE)</f>
        <v>CA-5, PM-1</v>
      </c>
      <c r="S182" s="72" t="str">
        <f>VLOOKUP($B182,'Standards Crosswalk'!$A:$I,9,FALSE)</f>
        <v>12.6, 6.5</v>
      </c>
    </row>
    <row r="183" spans="1:19" ht="151" thickBot="1" x14ac:dyDescent="0.2">
      <c r="A183" s="71">
        <f t="shared" si="5"/>
        <v>181</v>
      </c>
      <c r="B183" s="77" t="s">
        <v>346</v>
      </c>
      <c r="C183" s="78" t="str">
        <f>VLOOKUP(B183,'HECVAT - Full'!A:E,2,FALSE)</f>
        <v>Was your application developed using secure coding techniques?</v>
      </c>
      <c r="D183" s="71" t="str">
        <f>VLOOKUP(B183,'HECVAT - Full'!A:E,4,FALSE)</f>
        <v xml:space="preserve">Our engineering team follows the principles of OWASP. </v>
      </c>
      <c r="E183" s="79" t="b">
        <f>IF(Table1[[#This Row],[Column11]]&gt;20,TRUE,FALSE)</f>
        <v>0</v>
      </c>
      <c r="F183" s="79" t="s">
        <v>2039</v>
      </c>
      <c r="G183" s="80" t="s">
        <v>16</v>
      </c>
      <c r="H183" s="81">
        <v>1</v>
      </c>
      <c r="I183" s="71" t="str">
        <f>VLOOKUP(B183,'HECVAT - Full'!A:E,3,FALSE)</f>
        <v>Yes</v>
      </c>
      <c r="J183" s="71">
        <f>IF(Table1[[#This Row],[Column7]]=Table1[[#This Row],[Column9]],1,0)</f>
        <v>1</v>
      </c>
      <c r="K183" s="71">
        <f>IF(Table1[[#This Row],[Column8]]=1,20,"")</f>
        <v>20</v>
      </c>
      <c r="L183" s="71">
        <f>IF(Table1[[#This Row],[Column8]]=1,J183*K183,"")</f>
        <v>20</v>
      </c>
      <c r="M183" s="72" t="str">
        <f>VLOOKUP($B183,'Standards Crosswalk'!$A:$H,3,FALSE)</f>
        <v>CSC 4</v>
      </c>
      <c r="N183" s="72">
        <f>VLOOKUP($B183,'Standards Crosswalk'!$A:$H,4,FALSE)</f>
        <v>0</v>
      </c>
      <c r="O183" s="72" t="str">
        <f>VLOOKUP($B183,'Standards Crosswalk'!$A:$H,5,FALSE)</f>
        <v>14.2.1</v>
      </c>
      <c r="P183" s="72">
        <f>VLOOKUP($B183,'Standards Crosswalk'!$A:$H,6,FALSE)</f>
        <v>0</v>
      </c>
      <c r="Q183" s="72">
        <f>VLOOKUP($B183,'Standards Crosswalk'!$A:$H,7,FALSE)</f>
        <v>0</v>
      </c>
      <c r="R183" s="72" t="str">
        <f>VLOOKUP($B183,'Standards Crosswalk'!$A:$H,8,FALSE)</f>
        <v>CA-5, PM-1</v>
      </c>
      <c r="S183" s="72">
        <f>VLOOKUP($B183,'Standards Crosswalk'!$A:$I,9,FALSE)</f>
        <v>6.3</v>
      </c>
    </row>
    <row r="184" spans="1:19" ht="226" thickBot="1" x14ac:dyDescent="0.2">
      <c r="A184" s="71">
        <f t="shared" si="5"/>
        <v>182</v>
      </c>
      <c r="B184" s="77" t="s">
        <v>347</v>
      </c>
      <c r="C184" s="78" t="str">
        <f>VLOOKUP(B184,'HECVAT - Full'!A:E,2,FALSE)</f>
        <v>Do you subject your code to static code analysis and/or static application security testing prior to release?</v>
      </c>
      <c r="D184" s="71" t="str">
        <f>VLOOKUP(B184,'HECVAT - Full'!A:E,4,FALSE)</f>
        <v>We use GitHub Code Scanning to alert us of vulnerabilities in externally used libraries.</v>
      </c>
      <c r="E184" s="79" t="b">
        <f>IF(Table1[[#This Row],[Column11]]&gt;20,TRUE,FALSE)</f>
        <v>1</v>
      </c>
      <c r="F184" s="79" t="s">
        <v>2039</v>
      </c>
      <c r="G184" s="80" t="s">
        <v>16</v>
      </c>
      <c r="H184" s="81">
        <v>1</v>
      </c>
      <c r="I184" s="71" t="str">
        <f>VLOOKUP(B184,'HECVAT - Full'!A:E,3,FALSE)</f>
        <v>Yes</v>
      </c>
      <c r="J184" s="71">
        <f>IF(Table1[[#This Row],[Column7]]=Table1[[#This Row],[Column9]],1,0)</f>
        <v>1</v>
      </c>
      <c r="K184" s="71">
        <f>IF(Table1[[#This Row],[Column8]]=1,25,"")</f>
        <v>25</v>
      </c>
      <c r="L184" s="71">
        <f>IF(Table1[[#This Row],[Column8]]=1,J184*K184,"")</f>
        <v>25</v>
      </c>
      <c r="M184" s="72" t="str">
        <f>VLOOKUP($B184,'Standards Crosswalk'!$A:$H,3,FALSE)</f>
        <v>CSC 4</v>
      </c>
      <c r="N184" s="72">
        <f>VLOOKUP($B184,'Standards Crosswalk'!$A:$H,4,FALSE)</f>
        <v>0</v>
      </c>
      <c r="O184" s="72" t="str">
        <f>VLOOKUP($B184,'Standards Crosswalk'!$A:$H,5,FALSE)</f>
        <v>14.2.1, 14.2.5, 14.2.8</v>
      </c>
      <c r="P184" s="72" t="str">
        <f>VLOOKUP($B184,'Standards Crosswalk'!$A:$H,6,FALSE)</f>
        <v>DE.CM-8, RS.MI-3</v>
      </c>
      <c r="Q184" s="72">
        <f>VLOOKUP($B184,'Standards Crosswalk'!$A:$H,7,FALSE)</f>
        <v>0</v>
      </c>
      <c r="R184" s="72" t="str">
        <f>VLOOKUP($B184,'Standards Crosswalk'!$A:$H,8,FALSE)</f>
        <v>CA-5, PM-1</v>
      </c>
      <c r="S184" s="72" t="str">
        <f>VLOOKUP($B184,'Standards Crosswalk'!$A:$I,9,FALSE)</f>
        <v>6.3.2</v>
      </c>
    </row>
    <row r="185" spans="1:19" ht="121" thickBot="1" x14ac:dyDescent="0.2">
      <c r="A185" s="71">
        <f t="shared" si="5"/>
        <v>183</v>
      </c>
      <c r="B185" s="77" t="s">
        <v>348</v>
      </c>
      <c r="C185" s="78" t="str">
        <f>VLOOKUP(B185,'HECVAT - Full'!A:E,2,FALSE)</f>
        <v>Do you have software testing processes (dynamic or static) that are established and followed?</v>
      </c>
      <c r="D185" s="71" t="str">
        <f>VLOOKUP(B185,'HECVAT - Full'!A:E,4,FALSE)</f>
        <v>Unit tests are run automatically prior to deployment</v>
      </c>
      <c r="E185" s="79" t="b">
        <f>IF(Table1[[#This Row],[Column11]]&gt;20,TRUE,FALSE)</f>
        <v>0</v>
      </c>
      <c r="F185" s="79" t="s">
        <v>2039</v>
      </c>
      <c r="G185" s="80" t="s">
        <v>16</v>
      </c>
      <c r="H185" s="81">
        <v>1</v>
      </c>
      <c r="I185" s="71" t="str">
        <f>VLOOKUP(B185,'HECVAT - Full'!A:E,3,FALSE)</f>
        <v>Yes</v>
      </c>
      <c r="J185" s="71">
        <f>IF(Table1[[#This Row],[Column7]]=Table1[[#This Row],[Column9]],1,0)</f>
        <v>1</v>
      </c>
      <c r="K185" s="71">
        <f>IF(Table1[[#This Row],[Column8]]=1,20,"")</f>
        <v>20</v>
      </c>
      <c r="L185" s="71">
        <f>IF(Table1[[#This Row],[Column8]]=1,J185*K185,"")</f>
        <v>20</v>
      </c>
      <c r="M185" s="72"/>
      <c r="N185" s="72"/>
      <c r="O185" s="72"/>
      <c r="P185" s="72"/>
      <c r="Q185" s="72"/>
      <c r="R185" s="72"/>
      <c r="S185" s="72" t="str">
        <f>VLOOKUP($B185,'Standards Crosswalk'!$A:$I,9,FALSE)</f>
        <v>6.3.2, 6.4.5.3</v>
      </c>
    </row>
    <row r="186" spans="1:19" ht="151" thickBot="1" x14ac:dyDescent="0.2">
      <c r="A186" s="71">
        <f t="shared" si="5"/>
        <v>184</v>
      </c>
      <c r="B186" s="77" t="s">
        <v>349</v>
      </c>
      <c r="C186" s="78" t="str">
        <f>VLOOKUP(B186,'HECVAT - Full'!A:E,2,FALSE)</f>
        <v>Are information security principles designed into the product lifecycle?</v>
      </c>
      <c r="D186" s="71" t="str">
        <f>VLOOKUP(B186,'HECVAT - Full'!A:E,4,FALSE)</f>
        <v xml:space="preserve">Our engineering team follows the principles of OWASP. </v>
      </c>
      <c r="E186" s="79" t="b">
        <f>IF(Table1[[#This Row],[Column11]]&gt;20,TRUE,FALSE)</f>
        <v>0</v>
      </c>
      <c r="F186" s="79" t="s">
        <v>2039</v>
      </c>
      <c r="G186" s="80" t="s">
        <v>16</v>
      </c>
      <c r="H186" s="81">
        <v>1</v>
      </c>
      <c r="I186" s="71" t="str">
        <f>VLOOKUP(B186,'HECVAT - Full'!A:E,3,FALSE)</f>
        <v>Yes</v>
      </c>
      <c r="J186" s="71">
        <f>IF(Table1[[#This Row],[Column7]]=Table1[[#This Row],[Column9]],1,0)</f>
        <v>1</v>
      </c>
      <c r="K186" s="71">
        <f>IF(Table1[[#This Row],[Column8]]=1,20,"")</f>
        <v>20</v>
      </c>
      <c r="L186" s="71">
        <f>IF(Table1[[#This Row],[Column8]]=1,J186*K186,"")</f>
        <v>20</v>
      </c>
      <c r="M186" s="72" t="str">
        <f>VLOOKUP($B186,'Standards Crosswalk'!$A:$H,3,FALSE)</f>
        <v>CSC 4</v>
      </c>
      <c r="N186" s="72">
        <f>VLOOKUP($B186,'Standards Crosswalk'!$A:$H,4,FALSE)</f>
        <v>0</v>
      </c>
      <c r="O186" s="72" t="str">
        <f>VLOOKUP($B186,'Standards Crosswalk'!$A:$H,5,FALSE)</f>
        <v>14.2.1</v>
      </c>
      <c r="P186" s="72">
        <f>VLOOKUP($B186,'Standards Crosswalk'!$A:$H,6,FALSE)</f>
        <v>0</v>
      </c>
      <c r="Q186" s="72" t="str">
        <f>VLOOKUP($B186,'Standards Crosswalk'!$A:$H,7,FALSE)</f>
        <v>3.13.2</v>
      </c>
      <c r="R186" s="72" t="str">
        <f>VLOOKUP($B186,'Standards Crosswalk'!$A:$H,8,FALSE)</f>
        <v>CA-5, PM-1</v>
      </c>
      <c r="S186" s="72" t="str">
        <f>VLOOKUP($B186,'Standards Crosswalk'!$A:$I,9,FALSE)</f>
        <v>6.3, 6.3.1</v>
      </c>
    </row>
    <row r="187" spans="1:19" ht="106" thickBot="1" x14ac:dyDescent="0.2">
      <c r="A187" s="71">
        <f t="shared" si="5"/>
        <v>185</v>
      </c>
      <c r="B187" s="77" t="s">
        <v>350</v>
      </c>
      <c r="C187" s="78" t="str">
        <f>VLOOKUP(B187,'HECVAT - Full'!A:E,2,FALSE)</f>
        <v>Do you have a documented systems development life cycle (SDLC)?</v>
      </c>
      <c r="D187" s="71" t="str">
        <f>VLOOKUP(B187,'HECVAT - Full'!A:E,4,FALSE)</f>
        <v>We plan to build a SLDC process in 2021.</v>
      </c>
      <c r="E187" s="79" t="b">
        <f>IF(Table1[[#This Row],[Column11]]&gt;20,TRUE,FALSE)</f>
        <v>0</v>
      </c>
      <c r="F187" s="79" t="s">
        <v>2039</v>
      </c>
      <c r="G187" s="80" t="s">
        <v>16</v>
      </c>
      <c r="H187" s="81">
        <v>1</v>
      </c>
      <c r="I187" s="71" t="str">
        <f>VLOOKUP(B187,'HECVAT - Full'!A:E,3,FALSE)</f>
        <v>No</v>
      </c>
      <c r="J187" s="71">
        <f>IF(Table1[[#This Row],[Column7]]=Table1[[#This Row],[Column9]],1,0)</f>
        <v>0</v>
      </c>
      <c r="K187" s="71">
        <f>IF(Table1[[#This Row],[Column8]]=1,20,"")</f>
        <v>20</v>
      </c>
      <c r="L187" s="71">
        <f>IF(Table1[[#This Row],[Column8]]=1,J187*K187,"")</f>
        <v>0</v>
      </c>
      <c r="M187" s="72" t="str">
        <f>VLOOKUP($B187,'Standards Crosswalk'!$A:$H,3,FALSE)</f>
        <v>CSC 4</v>
      </c>
      <c r="N187" s="72">
        <f>VLOOKUP($B187,'Standards Crosswalk'!$A:$H,4,FALSE)</f>
        <v>0</v>
      </c>
      <c r="O187" s="72" t="str">
        <f>VLOOKUP($B187,'Standards Crosswalk'!$A:$H,5,FALSE)</f>
        <v>14.2.1</v>
      </c>
      <c r="P187" s="72" t="str">
        <f>VLOOKUP($B187,'Standards Crosswalk'!$A:$H,6,FALSE)</f>
        <v>PR.IP-2</v>
      </c>
      <c r="Q187" s="72">
        <f>VLOOKUP($B187,'Standards Crosswalk'!$A:$H,7,FALSE)</f>
        <v>0</v>
      </c>
      <c r="R187" s="72" t="str">
        <f>VLOOKUP($B187,'Standards Crosswalk'!$A:$H,8,FALSE)</f>
        <v>CM-3, SA-15, SA-3, SA-8, SC-2, CA-5, PM-1</v>
      </c>
      <c r="S187" s="72" t="str">
        <f>VLOOKUP($B187,'Standards Crosswalk'!$A:$I,9,FALSE)</f>
        <v>6.3.2</v>
      </c>
    </row>
    <row r="188" spans="1:19" ht="106" thickBot="1" x14ac:dyDescent="0.2">
      <c r="A188" s="71">
        <f t="shared" si="5"/>
        <v>186</v>
      </c>
      <c r="B188" s="95" t="s">
        <v>351</v>
      </c>
      <c r="C188" s="78" t="str">
        <f>VLOOKUP(B188,'HECVAT - Full'!A:E,2,FALSE)</f>
        <v>Do you have a formal incident response plan?</v>
      </c>
      <c r="D188" s="71" t="str">
        <f>VLOOKUP(B188,'HECVAT - Full'!A:E,4,FALSE)</f>
        <v>Please see Information Security Policy</v>
      </c>
      <c r="E188" s="79" t="b">
        <f>IF(Table1[[#This Row],[Column11]]&gt;20,TRUE,FALSE)</f>
        <v>1</v>
      </c>
      <c r="F188" s="79" t="s">
        <v>2039</v>
      </c>
      <c r="G188" s="80" t="s">
        <v>16</v>
      </c>
      <c r="H188" s="81">
        <v>1</v>
      </c>
      <c r="I188" s="71" t="str">
        <f>VLOOKUP(B188,'HECVAT - Full'!A:E,3,FALSE)</f>
        <v>Yes</v>
      </c>
      <c r="J188" s="71">
        <f>IF(Table1[[#This Row],[Column7]]=Table1[[#This Row],[Column9]],1,0)</f>
        <v>1</v>
      </c>
      <c r="K188" s="71">
        <f>IF(Table1[[#This Row],[Column8]]=1,25,"")</f>
        <v>25</v>
      </c>
      <c r="L188" s="71">
        <f>IF(Table1[[#This Row],[Column8]]=1,J188*K188,"")</f>
        <v>25</v>
      </c>
      <c r="M188" s="72" t="str">
        <f>VLOOKUP($B188,'Standards Crosswalk'!$A:$H,3,FALSE)</f>
        <v>CSC 19</v>
      </c>
      <c r="N188" s="72">
        <f>VLOOKUP($B188,'Standards Crosswalk'!$A:$H,4,FALSE)</f>
        <v>0</v>
      </c>
      <c r="O188" s="72" t="str">
        <f>VLOOKUP($B188,'Standards Crosswalk'!$A:$H,5,FALSE)</f>
        <v>16.1.5</v>
      </c>
      <c r="P188" s="72" t="str">
        <f>VLOOKUP($B188,'Standards Crosswalk'!$A:$H,6,FALSE)</f>
        <v>PR.IP-9</v>
      </c>
      <c r="Q188" s="72" t="str">
        <f>VLOOKUP($B188,'Standards Crosswalk'!$A:$H,7,FALSE)</f>
        <v>3.6.1, 3.12.2</v>
      </c>
      <c r="R188" s="72" t="str">
        <f>VLOOKUP($B188,'Standards Crosswalk'!$A:$H,8,FALSE)</f>
        <v>CA-5, PM-1, IR-4, IR-5, IR-7, IR-8</v>
      </c>
      <c r="S188" s="72" t="str">
        <f>VLOOKUP($B188,'Standards Crosswalk'!$A:$I,9,FALSE)</f>
        <v>12.10, 12.8, 12.9</v>
      </c>
    </row>
    <row r="189" spans="1:19" ht="106" thickBot="1" x14ac:dyDescent="0.2">
      <c r="A189" s="71">
        <f t="shared" si="5"/>
        <v>187</v>
      </c>
      <c r="B189" s="95" t="s">
        <v>352</v>
      </c>
      <c r="C189" s="78" t="str">
        <f>VLOOKUP(B189,'HECVAT - Full'!A:E,2,FALSE)</f>
        <v>Will you comply with applicable breach notification laws?</v>
      </c>
      <c r="D189" s="71" t="str">
        <f>VLOOKUP(B189,'HECVAT - Full'!A:E,4,FALSE)</f>
        <v>Please see Information Security Policy</v>
      </c>
      <c r="E189" s="79" t="b">
        <f>IF(Table1[[#This Row],[Column11]]&gt;20,TRUE,FALSE)</f>
        <v>1</v>
      </c>
      <c r="F189" s="79" t="s">
        <v>2039</v>
      </c>
      <c r="G189" s="80" t="s">
        <v>16</v>
      </c>
      <c r="H189" s="81">
        <v>1</v>
      </c>
      <c r="I189" s="71" t="str">
        <f>VLOOKUP(B189,'HECVAT - Full'!A:E,3,FALSE)</f>
        <v>Yes</v>
      </c>
      <c r="J189" s="71">
        <f>IF(Table1[[#This Row],[Column7]]=Table1[[#This Row],[Column9]],1,0)</f>
        <v>1</v>
      </c>
      <c r="K189" s="71">
        <f>IF(Table1[[#This Row],[Column8]]=1,25,"")</f>
        <v>25</v>
      </c>
      <c r="L189" s="71">
        <f>IF(Table1[[#This Row],[Column8]]=1,J189*K189,"")</f>
        <v>25</v>
      </c>
      <c r="M189" s="72" t="str">
        <f>VLOOKUP($B189,'Standards Crosswalk'!$A:$H,3,FALSE)</f>
        <v>CSC 19</v>
      </c>
      <c r="N189" s="72">
        <f>VLOOKUP($B189,'Standards Crosswalk'!$A:$H,4,FALSE)</f>
        <v>0</v>
      </c>
      <c r="O189" s="72" t="str">
        <f>VLOOKUP($B189,'Standards Crosswalk'!$A:$H,5,FALSE)</f>
        <v>18.1.1</v>
      </c>
      <c r="P189" s="72" t="str">
        <f>VLOOKUP($B189,'Standards Crosswalk'!$A:$H,6,FALSE)</f>
        <v>ID.GV-3</v>
      </c>
      <c r="Q189" s="72" t="str">
        <f>VLOOKUP($B189,'Standards Crosswalk'!$A:$H,7,FALSE)</f>
        <v>3.6.2,</v>
      </c>
      <c r="R189" s="72" t="str">
        <f>VLOOKUP($B189,'Standards Crosswalk'!$A:$H,8,FALSE)</f>
        <v>CA-5, PM-1, IR-4, IR-5, IR-6, IR-7, IR-8</v>
      </c>
      <c r="S189" s="72">
        <f>VLOOKUP($B189,'Standards Crosswalk'!$A:$I,9,FALSE)</f>
        <v>12.8</v>
      </c>
    </row>
    <row r="190" spans="1:19" ht="166" thickBot="1" x14ac:dyDescent="0.2">
      <c r="A190" s="71">
        <f t="shared" si="5"/>
        <v>188</v>
      </c>
      <c r="B190" s="95" t="s">
        <v>353</v>
      </c>
      <c r="C190" s="78" t="str">
        <f>VLOOKUP(B190,'HECVAT - Full'!A:E,2,FALSE)</f>
        <v>Will you comply with the Institution's IT policies with regards to user privacy and data protection?</v>
      </c>
      <c r="D190" s="71" t="str">
        <f>VLOOKUP(B190,'HECVAT - Full'!A:E,4,FALSE)</f>
        <v xml:space="preserve">We review each institutions IT policies prior to commencement of work. </v>
      </c>
      <c r="E190" s="79" t="b">
        <f>IF(Table1[[#This Row],[Column11]]&gt;20,TRUE,FALSE)</f>
        <v>0</v>
      </c>
      <c r="F190" s="79" t="s">
        <v>2039</v>
      </c>
      <c r="G190" s="80" t="s">
        <v>16</v>
      </c>
      <c r="H190" s="81">
        <v>1</v>
      </c>
      <c r="I190" s="71" t="str">
        <f>VLOOKUP(B190,'HECVAT - Full'!A:E,3,FALSE)</f>
        <v>Yes</v>
      </c>
      <c r="J190" s="71">
        <f>IF(Table1[[#This Row],[Column7]]=Table1[[#This Row],[Column9]],1,0)</f>
        <v>1</v>
      </c>
      <c r="K190" s="71">
        <f>IF(Table1[[#This Row],[Column8]]=1,15,"")</f>
        <v>15</v>
      </c>
      <c r="L190" s="71">
        <f>IF(Table1[[#This Row],[Column8]]=1,J190*K190,"")</f>
        <v>15</v>
      </c>
      <c r="M190" s="72" t="str">
        <f>VLOOKUP($B190,'Standards Crosswalk'!$A:$H,3,FALSE)</f>
        <v>CSC 13</v>
      </c>
      <c r="N190" s="72">
        <f>VLOOKUP($B190,'Standards Crosswalk'!$A:$H,4,FALSE)</f>
        <v>0</v>
      </c>
      <c r="O190" s="72" t="str">
        <f>VLOOKUP($B190,'Standards Crosswalk'!$A:$H,5,FALSE)</f>
        <v>18.1.1</v>
      </c>
      <c r="P190" s="72">
        <f>VLOOKUP($B190,'Standards Crosswalk'!$A:$H,6,FALSE)</f>
        <v>0</v>
      </c>
      <c r="Q190" s="72" t="str">
        <f>VLOOKUP($B190,'Standards Crosswalk'!$A:$H,7,FALSE)</f>
        <v>3.6.2</v>
      </c>
      <c r="R190" s="72" t="str">
        <f>VLOOKUP($B190,'Standards Crosswalk'!$A:$H,8,FALSE)</f>
        <v>CA-2, SA-15, CA-5, PM-1, IR-4, IR-5, IR-6, R-7, IR-8</v>
      </c>
      <c r="S190" s="72">
        <f>VLOOKUP($B190,'Standards Crosswalk'!$A:$I,9,FALSE)</f>
        <v>12.8</v>
      </c>
    </row>
    <row r="191" spans="1:19" ht="61" thickBot="1" x14ac:dyDescent="0.2">
      <c r="A191" s="71">
        <f t="shared" si="5"/>
        <v>189</v>
      </c>
      <c r="B191" s="95" t="s">
        <v>354</v>
      </c>
      <c r="C191" s="78" t="str">
        <f>VLOOKUP(B191,'HECVAT - Full'!A:E,2,FALSE)</f>
        <v>Is your company subject to Institution's Data Zone laws and regulations?</v>
      </c>
      <c r="D191" s="71">
        <f>VLOOKUP(B191,'HECVAT - Full'!A:E,4,FALSE)</f>
        <v>0</v>
      </c>
      <c r="E191" s="79" t="b">
        <f>IF(Table1[[#This Row],[Column11]]&gt;20,TRUE,FALSE)</f>
        <v>0</v>
      </c>
      <c r="F191" s="79" t="s">
        <v>2039</v>
      </c>
      <c r="G191" s="80" t="s">
        <v>16</v>
      </c>
      <c r="H191" s="81">
        <v>1</v>
      </c>
      <c r="I191" s="71" t="str">
        <f>VLOOKUP(B191,'HECVAT - Full'!A:E,3,FALSE)</f>
        <v>Yes</v>
      </c>
      <c r="J191" s="71">
        <f>IF(Table1[[#This Row],[Column7]]=Table1[[#This Row],[Column9]],1,0)</f>
        <v>1</v>
      </c>
      <c r="K191" s="71">
        <f>IF(Table1[[#This Row],[Column8]]=1,20,"")</f>
        <v>20</v>
      </c>
      <c r="L191" s="71">
        <f>IF(Table1[[#This Row],[Column8]]=1,J191*K191,"")</f>
        <v>20</v>
      </c>
      <c r="M191" s="72" t="str">
        <f>VLOOKUP($B191,'Standards Crosswalk'!$A:$H,3,FALSE)</f>
        <v>CSC 19</v>
      </c>
      <c r="N191" s="72">
        <f>VLOOKUP($B191,'Standards Crosswalk'!$A:$H,4,FALSE)</f>
        <v>0</v>
      </c>
      <c r="O191" s="72" t="str">
        <f>VLOOKUP($B191,'Standards Crosswalk'!$A:$H,5,FALSE)</f>
        <v>18.1.1</v>
      </c>
      <c r="P191" s="72" t="str">
        <f>VLOOKUP($B191,'Standards Crosswalk'!$A:$H,6,FALSE)</f>
        <v>ID.GV-3</v>
      </c>
      <c r="Q191" s="72">
        <f>VLOOKUP($B191,'Standards Crosswalk'!$A:$H,7,FALSE)</f>
        <v>0</v>
      </c>
      <c r="R191" s="72" t="str">
        <f>VLOOKUP($B191,'Standards Crosswalk'!$A:$H,8,FALSE)</f>
        <v>CA-5, PM-1</v>
      </c>
      <c r="S191" s="72">
        <f>VLOOKUP($B191,'Standards Crosswalk'!$A:$I,9,FALSE)</f>
        <v>0</v>
      </c>
    </row>
    <row r="192" spans="1:19" ht="256" thickBot="1" x14ac:dyDescent="0.2">
      <c r="A192" s="71">
        <f t="shared" si="5"/>
        <v>190</v>
      </c>
      <c r="B192" s="95" t="s">
        <v>355</v>
      </c>
      <c r="C192" s="78" t="str">
        <f>VLOOKUP(B192,'HECVAT - Full'!A:E,2,FALSE)</f>
        <v>Do you perform background screenings or multi-state background checks on all employees prior to their first day of work?</v>
      </c>
      <c r="D192" s="71" t="str">
        <f>VLOOKUP(B192,'HECVAT - Full'!A:E,4,FALSE)</f>
        <v>Criminal background checks are performed for all new employees prior to their first day of work.</v>
      </c>
      <c r="E192" s="79" t="b">
        <f>IF(Table1[[#This Row],[Column11]]&gt;20,TRUE,FALSE)</f>
        <v>0</v>
      </c>
      <c r="F192" s="79" t="s">
        <v>2039</v>
      </c>
      <c r="G192" s="80" t="s">
        <v>16</v>
      </c>
      <c r="H192" s="81">
        <v>1</v>
      </c>
      <c r="I192" s="71" t="str">
        <f>VLOOKUP(B192,'HECVAT - Full'!A:E,3,FALSE)</f>
        <v>Yes</v>
      </c>
      <c r="J192" s="71">
        <f>IF(Table1[[#This Row],[Column7]]=Table1[[#This Row],[Column9]],1,0)</f>
        <v>1</v>
      </c>
      <c r="K192" s="71">
        <f>IF(Table1[[#This Row],[Column8]]=1,15,"")</f>
        <v>15</v>
      </c>
      <c r="L192" s="71">
        <f>IF(Table1[[#This Row],[Column8]]=1,J192*K192,"")</f>
        <v>15</v>
      </c>
      <c r="M192" s="72" t="str">
        <f>VLOOKUP($B192,'Standards Crosswalk'!$A:$H,3,FALSE)</f>
        <v>CSC 5</v>
      </c>
      <c r="N192" s="72">
        <f>VLOOKUP($B192,'Standards Crosswalk'!$A:$H,4,FALSE)</f>
        <v>0</v>
      </c>
      <c r="O192" s="72" t="str">
        <f>VLOOKUP($B192,'Standards Crosswalk'!$A:$H,5,FALSE)</f>
        <v>7.1.1</v>
      </c>
      <c r="P192" s="72" t="str">
        <f>VLOOKUP($B192,'Standards Crosswalk'!$A:$H,6,FALSE)</f>
        <v>PR.IP-11</v>
      </c>
      <c r="Q192" s="72" t="str">
        <f>VLOOKUP($B192,'Standards Crosswalk'!$A:$H,7,FALSE)</f>
        <v>3.9.1</v>
      </c>
      <c r="R192" s="72" t="str">
        <f>VLOOKUP($B192,'Standards Crosswalk'!$A:$H,8,FALSE)</f>
        <v>CA-5, PM-1, PS-3</v>
      </c>
      <c r="S192" s="72">
        <f>VLOOKUP($B192,'Standards Crosswalk'!$A:$I,9,FALSE)</f>
        <v>12.7</v>
      </c>
    </row>
    <row r="193" spans="1:19" ht="211" thickBot="1" x14ac:dyDescent="0.2">
      <c r="A193" s="71">
        <f t="shared" si="5"/>
        <v>191</v>
      </c>
      <c r="B193" s="95" t="s">
        <v>356</v>
      </c>
      <c r="C193" s="78" t="str">
        <f>VLOOKUP(B193,'HECVAT - Full'!A:E,2,FALSE)</f>
        <v xml:space="preserve">Do you require new employees to fill out agreements and review policies?  </v>
      </c>
      <c r="D193" s="71" t="str">
        <f>VLOOKUP(B193,'HECVAT - Full'!A:E,4,FALSE)</f>
        <v>They are required to review and conform with our Information Security Policy.</v>
      </c>
      <c r="E193" s="79" t="b">
        <f>IF(Table1[[#This Row],[Column11]]&gt;20,TRUE,FALSE)</f>
        <v>0</v>
      </c>
      <c r="F193" s="79" t="s">
        <v>2039</v>
      </c>
      <c r="G193" s="80" t="s">
        <v>16</v>
      </c>
      <c r="H193" s="81">
        <v>1</v>
      </c>
      <c r="I193" s="71" t="str">
        <f>VLOOKUP(B193,'HECVAT - Full'!A:E,3,FALSE)</f>
        <v>Yes</v>
      </c>
      <c r="J193" s="71">
        <f>IF(Table1[[#This Row],[Column7]]=Table1[[#This Row],[Column9]],1,0)</f>
        <v>1</v>
      </c>
      <c r="K193" s="71">
        <f>IF(Table1[[#This Row],[Column8]]=1,15,"")</f>
        <v>15</v>
      </c>
      <c r="L193" s="71">
        <f>IF(Table1[[#This Row],[Column8]]=1,J193*K193,"")</f>
        <v>15</v>
      </c>
      <c r="M193" s="72" t="str">
        <f>VLOOKUP($B193,'Standards Crosswalk'!$A:$H,3,FALSE)</f>
        <v>CSC 17</v>
      </c>
      <c r="N193" s="72">
        <f>VLOOKUP($B193,'Standards Crosswalk'!$A:$H,4,FALSE)</f>
        <v>0</v>
      </c>
      <c r="O193" s="72" t="str">
        <f>VLOOKUP($B193,'Standards Crosswalk'!$A:$H,5,FALSE)</f>
        <v>7.1.2</v>
      </c>
      <c r="P193" s="72" t="str">
        <f>VLOOKUP($B193,'Standards Crosswalk'!$A:$H,6,FALSE)</f>
        <v>PR.IP-11</v>
      </c>
      <c r="Q193" s="72">
        <f>VLOOKUP($B193,'Standards Crosswalk'!$A:$H,7,FALSE)</f>
        <v>0</v>
      </c>
      <c r="R193" s="72" t="str">
        <f>VLOOKUP($B193,'Standards Crosswalk'!$A:$H,8,FALSE)</f>
        <v>CA-5, PM-1</v>
      </c>
      <c r="S193" s="72" t="str">
        <f>VLOOKUP($B193,'Standards Crosswalk'!$A:$I,9,FALSE)</f>
        <v>12.6, 7.x, 8.x, 9.x</v>
      </c>
    </row>
    <row r="194" spans="1:19" ht="106" thickBot="1" x14ac:dyDescent="0.2">
      <c r="A194" s="71">
        <f t="shared" si="5"/>
        <v>192</v>
      </c>
      <c r="B194" s="95" t="s">
        <v>357</v>
      </c>
      <c r="C194" s="78" t="str">
        <f>VLOOKUP(B194,'HECVAT - Full'!A:E,2,FALSE)</f>
        <v>Do you have documented information security policy?</v>
      </c>
      <c r="D194" s="71" t="str">
        <f>VLOOKUP(B194,'HECVAT - Full'!A:E,4,FALSE)</f>
        <v>Please see Information Security Policy</v>
      </c>
      <c r="E194" s="79" t="b">
        <f>IF(Table1[[#This Row],[Column11]]&gt;20,TRUE,FALSE)</f>
        <v>1</v>
      </c>
      <c r="F194" s="79" t="s">
        <v>2039</v>
      </c>
      <c r="G194" s="80" t="s">
        <v>16</v>
      </c>
      <c r="H194" s="81">
        <v>1</v>
      </c>
      <c r="I194" s="71" t="str">
        <f>VLOOKUP(B194,'HECVAT - Full'!A:E,3,FALSE)</f>
        <v>Yes</v>
      </c>
      <c r="J194" s="71">
        <f>IF(Table1[[#This Row],[Column7]]=Table1[[#This Row],[Column9]],1,0)</f>
        <v>1</v>
      </c>
      <c r="K194" s="71">
        <f>IF(Table1[[#This Row],[Column8]]=1,25,"")</f>
        <v>25</v>
      </c>
      <c r="L194" s="71">
        <f>IF(Table1[[#This Row],[Column8]]=1,J194*K194,"")</f>
        <v>25</v>
      </c>
      <c r="M194" s="72" t="str">
        <f>VLOOKUP($B194,'Standards Crosswalk'!$A:$H,3,FALSE)</f>
        <v>CSC 17</v>
      </c>
      <c r="N194" s="72" t="str">
        <f>VLOOKUP($B194,'Standards Crosswalk'!$A:$H,4,FALSE)</f>
        <v>§164.308(a)(1)(i)</v>
      </c>
      <c r="O194" s="72" t="str">
        <f>VLOOKUP($B194,'Standards Crosswalk'!$A:$H,5,FALSE)</f>
        <v>5.1.1</v>
      </c>
      <c r="P194" s="72" t="str">
        <f>VLOOKUP($B194,'Standards Crosswalk'!$A:$H,6,FALSE)</f>
        <v>ID.GV-3</v>
      </c>
      <c r="Q194" s="72">
        <f>VLOOKUP($B194,'Standards Crosswalk'!$A:$H,7,FALSE)</f>
        <v>0</v>
      </c>
      <c r="R194" s="72" t="str">
        <f>VLOOKUP($B194,'Standards Crosswalk'!$A:$H,8,FALSE)</f>
        <v>CA-5, PM-1</v>
      </c>
      <c r="S194" s="72" t="str">
        <f>VLOOKUP($B194,'Standards Crosswalk'!$A:$I,9,FALSE)</f>
        <v>12.1, 5.4 (?)</v>
      </c>
    </row>
    <row r="195" spans="1:19" ht="286" thickBot="1" x14ac:dyDescent="0.2">
      <c r="A195" s="71">
        <f t="shared" si="5"/>
        <v>193</v>
      </c>
      <c r="B195" s="95" t="s">
        <v>358</v>
      </c>
      <c r="C195" s="78" t="str">
        <f>VLOOKUP(B195,'HECVAT - Full'!A:E,2,FALSE)</f>
        <v>Do you have an information security awareness program?</v>
      </c>
      <c r="D195" s="71" t="str">
        <f>VLOOKUP(B195,'HECVAT - Full'!A:E,4,FALSE)</f>
        <v>Annual trainings include topics such as controls, risk management, preventing cyber attacks, mobile device loss, etc.</v>
      </c>
      <c r="E195" s="79" t="b">
        <f>IF(Table1[[#This Row],[Column11]]&gt;20,TRUE,FALSE)</f>
        <v>1</v>
      </c>
      <c r="F195" s="79" t="s">
        <v>2039</v>
      </c>
      <c r="G195" s="80" t="s">
        <v>16</v>
      </c>
      <c r="H195" s="81">
        <v>1</v>
      </c>
      <c r="I195" s="71" t="str">
        <f>VLOOKUP(B195,'HECVAT - Full'!A:E,3,FALSE)</f>
        <v>Yes</v>
      </c>
      <c r="J195" s="71">
        <f>IF(Table1[[#This Row],[Column7]]=Table1[[#This Row],[Column9]],1,0)</f>
        <v>1</v>
      </c>
      <c r="K195" s="71">
        <f>IF(Table1[[#This Row],[Column8]]=1,25,"")</f>
        <v>25</v>
      </c>
      <c r="L195" s="71">
        <f>IF(Table1[[#This Row],[Column8]]=1,J195*K195,"")</f>
        <v>25</v>
      </c>
      <c r="M195" s="72" t="str">
        <f>VLOOKUP($B195,'Standards Crosswalk'!$A:$H,3,FALSE)</f>
        <v>CSC 17</v>
      </c>
      <c r="N195" s="72" t="str">
        <f>VLOOKUP($B195,'Standards Crosswalk'!$A:$H,4,FALSE)</f>
        <v>§164.308(a)(5)(i)</v>
      </c>
      <c r="O195" s="72" t="str">
        <f>VLOOKUP($B195,'Standards Crosswalk'!$A:$H,5,FALSE)</f>
        <v>7.2.2</v>
      </c>
      <c r="P195" s="72" t="str">
        <f>VLOOKUP($B195,'Standards Crosswalk'!$A:$H,6,FALSE)</f>
        <v>PR.AT-1</v>
      </c>
      <c r="Q195" s="72" t="str">
        <f>VLOOKUP($B195,'Standards Crosswalk'!$A:$H,7,FALSE)</f>
        <v>3.2.1</v>
      </c>
      <c r="R195" s="72" t="str">
        <f>VLOOKUP($B195,'Standards Crosswalk'!$A:$H,8,FALSE)</f>
        <v>AT-2, CA-5, PM-1</v>
      </c>
      <c r="S195" s="72">
        <f>VLOOKUP($B195,'Standards Crosswalk'!$A:$I,9,FALSE)</f>
        <v>12.6</v>
      </c>
    </row>
    <row r="196" spans="1:19" ht="196" thickBot="1" x14ac:dyDescent="0.2">
      <c r="A196" s="71">
        <f t="shared" ref="A196:A259" si="6">A195+1</f>
        <v>194</v>
      </c>
      <c r="B196" s="95" t="s">
        <v>359</v>
      </c>
      <c r="C196" s="78" t="str">
        <f>VLOOKUP(B196,'HECVAT - Full'!A:E,2,FALSE)</f>
        <v>Is security awareness training mandatory for all employees?</v>
      </c>
      <c r="D196" s="71" t="str">
        <f>VLOOKUP(B196,'HECVAT - Full'!A:E,4,FALSE)</f>
        <v>Employees are required to attend a security awareness training annually.</v>
      </c>
      <c r="E196" s="79" t="b">
        <f>IF(Table1[[#This Row],[Column11]]&gt;20,TRUE,FALSE)</f>
        <v>0</v>
      </c>
      <c r="F196" s="79" t="s">
        <v>2039</v>
      </c>
      <c r="G196" s="80" t="s">
        <v>16</v>
      </c>
      <c r="H196" s="81">
        <v>1</v>
      </c>
      <c r="I196" s="71" t="str">
        <f>VLOOKUP(B196,'HECVAT - Full'!A:E,3,FALSE)</f>
        <v>Yes</v>
      </c>
      <c r="J196" s="71">
        <f>IF(Table1[[#This Row],[Column7]]=Table1[[#This Row],[Column9]],1,0)</f>
        <v>1</v>
      </c>
      <c r="K196" s="71">
        <f>IF(Table1[[#This Row],[Column8]]=1,20,"")</f>
        <v>20</v>
      </c>
      <c r="L196" s="71">
        <f>IF(Table1[[#This Row],[Column8]]=1,J196*K196,"")</f>
        <v>20</v>
      </c>
      <c r="M196" s="72" t="str">
        <f>VLOOKUP($B196,'Standards Crosswalk'!$A:$H,3,FALSE)</f>
        <v>CSC 17</v>
      </c>
      <c r="N196" s="72" t="str">
        <f>VLOOKUP($B196,'Standards Crosswalk'!$A:$H,4,FALSE)</f>
        <v>§164.308(a)(5)(i)</v>
      </c>
      <c r="O196" s="72" t="str">
        <f>VLOOKUP($B196,'Standards Crosswalk'!$A:$H,5,FALSE)</f>
        <v>7.2.2</v>
      </c>
      <c r="P196" s="72" t="str">
        <f>VLOOKUP($B196,'Standards Crosswalk'!$A:$H,6,FALSE)</f>
        <v>PR.AT-1</v>
      </c>
      <c r="Q196" s="72" t="str">
        <f>VLOOKUP($B196,'Standards Crosswalk'!$A:$H,7,FALSE)</f>
        <v>3.2.1, 3.2.2, 3.2.3</v>
      </c>
      <c r="R196" s="72" t="str">
        <f>VLOOKUP($B196,'Standards Crosswalk'!$A:$H,8,FALSE)</f>
        <v>AT-2, AT-3, CA-5, PM-1</v>
      </c>
      <c r="S196" s="72">
        <f>VLOOKUP($B196,'Standards Crosswalk'!$A:$I,9,FALSE)</f>
        <v>12.6</v>
      </c>
    </row>
    <row r="197" spans="1:19" ht="271" thickBot="1" x14ac:dyDescent="0.2">
      <c r="A197" s="71">
        <f t="shared" si="6"/>
        <v>195</v>
      </c>
      <c r="B197" s="95" t="s">
        <v>360</v>
      </c>
      <c r="C197" s="78" t="str">
        <f>VLOOKUP(B197,'HECVAT - Full'!A:E,2,FALSE)</f>
        <v>Do you have process and procedure(s) documented, and currently followed, that require a review and update of the access-list(s) for privileged accounts?</v>
      </c>
      <c r="D197" s="71" t="str">
        <f>VLOOKUP(B197,'HECVAT - Full'!A:E,4,FALSE)</f>
        <v>Access to information attests is reviewed periodically to ensure ongoing compliance with access policies</v>
      </c>
      <c r="E197" s="79" t="b">
        <f>IF(Table1[[#This Row],[Column11]]&gt;20,TRUE,FALSE)</f>
        <v>0</v>
      </c>
      <c r="F197" s="79" t="s">
        <v>2039</v>
      </c>
      <c r="G197" s="80" t="s">
        <v>16</v>
      </c>
      <c r="H197" s="81">
        <v>1</v>
      </c>
      <c r="I197" s="71" t="str">
        <f>VLOOKUP(B197,'HECVAT - Full'!A:E,3,FALSE)</f>
        <v>Yes</v>
      </c>
      <c r="J197" s="71">
        <f>IF(Table1[[#This Row],[Column7]]=Table1[[#This Row],[Column9]],1,0)</f>
        <v>1</v>
      </c>
      <c r="K197" s="71">
        <f>IF(Table1[[#This Row],[Column8]]=1,20,"")</f>
        <v>20</v>
      </c>
      <c r="L197" s="71">
        <f>IF(Table1[[#This Row],[Column8]]=1,J197*K197,"")</f>
        <v>20</v>
      </c>
      <c r="M197" s="72" t="str">
        <f>VLOOKUP($B197,'Standards Crosswalk'!$A:$H,3,FALSE)</f>
        <v>CSC 17</v>
      </c>
      <c r="N197" s="72">
        <f>VLOOKUP($B197,'Standards Crosswalk'!$A:$H,4,FALSE)</f>
        <v>0</v>
      </c>
      <c r="O197" s="72" t="str">
        <f>VLOOKUP($B197,'Standards Crosswalk'!$A:$H,5,FALSE)</f>
        <v>9.2.5</v>
      </c>
      <c r="P197" s="72" t="str">
        <f>VLOOKUP($B197,'Standards Crosswalk'!$A:$H,6,FALSE)</f>
        <v>PR.AC-4, PR.PT-3</v>
      </c>
      <c r="Q197" s="72" t="str">
        <f>VLOOKUP($B197,'Standards Crosswalk'!$A:$H,7,FALSE)</f>
        <v>3.1.7</v>
      </c>
      <c r="R197" s="72" t="str">
        <f>VLOOKUP($B197,'Standards Crosswalk'!$A:$H,8,FALSE)</f>
        <v>CA-5, PM-1</v>
      </c>
      <c r="S197" s="72" t="str">
        <f>VLOOKUP($B197,'Standards Crosswalk'!$A:$I,9,FALSE)</f>
        <v>12.1, 12.5, 12.6</v>
      </c>
    </row>
    <row r="198" spans="1:19" ht="93.75" customHeight="1" thickBot="1" x14ac:dyDescent="0.2">
      <c r="A198" s="71">
        <f t="shared" si="6"/>
        <v>196</v>
      </c>
      <c r="B198" s="95" t="s">
        <v>361</v>
      </c>
      <c r="C198" s="78" t="str">
        <f>VLOOKUP(B198,'HECVAT - Full'!A:E,2,FALSE)</f>
        <v>Do you have documented, and currently implemented, internal audit processes and procedures?</v>
      </c>
      <c r="D198" s="71" t="str">
        <f>VLOOKUP(B198,'HECVAT - Full'!A:E,4,FALSE)</f>
        <v>We are in the process of completing a SOC-2 Type I audit that will be completed in Q2 2021, and will then perform annual Type II audits.</v>
      </c>
      <c r="E198" s="79" t="b">
        <f>IF(Table1[[#This Row],[Column11]]&gt;20,TRUE,FALSE)</f>
        <v>0</v>
      </c>
      <c r="F198" s="79" t="s">
        <v>2039</v>
      </c>
      <c r="G198" s="80" t="s">
        <v>16</v>
      </c>
      <c r="H198" s="81">
        <v>1</v>
      </c>
      <c r="I198" s="71" t="str">
        <f>VLOOKUP(B198,'HECVAT - Full'!A:E,3,FALSE)</f>
        <v>Yes</v>
      </c>
      <c r="J198" s="71">
        <f>IF(Table1[[#This Row],[Column7]]=Table1[[#This Row],[Column9]],1,0)</f>
        <v>1</v>
      </c>
      <c r="K198" s="71">
        <f>IF(Table1[[#This Row],[Column8]]=1,20,"")</f>
        <v>20</v>
      </c>
      <c r="L198" s="71">
        <f>IF(Table1[[#This Row],[Column8]]=1,J198*K198,"")</f>
        <v>20</v>
      </c>
      <c r="M198" s="72">
        <f>VLOOKUP($B198,'Standards Crosswalk'!$A:$H,3,FALSE)</f>
        <v>0</v>
      </c>
      <c r="N198" s="72">
        <f>VLOOKUP($B198,'Standards Crosswalk'!$A:$H,4,FALSE)</f>
        <v>0</v>
      </c>
      <c r="O198" s="72" t="str">
        <f>VLOOKUP($B198,'Standards Crosswalk'!$A:$H,5,FALSE)</f>
        <v>12.7.1</v>
      </c>
      <c r="P198" s="72">
        <f>VLOOKUP($B198,'Standards Crosswalk'!$A:$H,6,FALSE)</f>
        <v>0</v>
      </c>
      <c r="Q198" s="72">
        <f>VLOOKUP($B198,'Standards Crosswalk'!$A:$H,7,FALSE)</f>
        <v>0</v>
      </c>
      <c r="R198" s="72" t="str">
        <f>VLOOKUP($B198,'Standards Crosswalk'!$A:$H,8,FALSE)</f>
        <v>CA-5, PM-1, PS-4, PS-5, PE-2, PE-3, PE-5, AC-6, RA-3, SA-8, CA-2, NIST SP 800-37; NIST SP 800-39; NIST SP 800-115; NIST SP 800-137</v>
      </c>
      <c r="S198" s="72">
        <f>VLOOKUP($B198,'Standards Crosswalk'!$A:$I,9,FALSE)</f>
        <v>0</v>
      </c>
    </row>
    <row r="199" spans="1:19" ht="371" thickBot="1" x14ac:dyDescent="0.2">
      <c r="A199" s="71">
        <f t="shared" si="6"/>
        <v>197</v>
      </c>
      <c r="B199" s="77" t="s">
        <v>362</v>
      </c>
      <c r="C199" s="78" t="str">
        <f>VLOOKUP(B199,'HECVAT - Full'!A:E,2,FALSE)</f>
        <v>Do you incorporate customer feedback into security feature requests?</v>
      </c>
      <c r="D199" s="71" t="str">
        <f>VLOOKUP(B199,'HECVAT - Full'!A:E,4,FALSE)</f>
        <v xml:space="preserve">We gather this feedback during security compliance reviews, interactions with clients, and our own scan of potential weaknesses/threats. </v>
      </c>
      <c r="E199" s="79" t="b">
        <f>IF(Table1[[#This Row],[Column11]]&gt;20,TRUE,FALSE)</f>
        <v>0</v>
      </c>
      <c r="F199" s="79" t="s">
        <v>2040</v>
      </c>
      <c r="G199" s="80" t="s">
        <v>16</v>
      </c>
      <c r="H199" s="81">
        <v>1</v>
      </c>
      <c r="I199" s="71" t="str">
        <f>VLOOKUP(B199,'HECVAT - Full'!A:E,3,FALSE)</f>
        <v>Yes</v>
      </c>
      <c r="J199" s="71">
        <f>IF(Table1[[#This Row],[Column7]]=Table1[[#This Row],[Column9]],1,0)</f>
        <v>1</v>
      </c>
      <c r="K199" s="71">
        <f>IF(Table1[[#This Row],[Column8]]=1,15,"")</f>
        <v>15</v>
      </c>
      <c r="L199" s="71">
        <f>IF(Table1[[#This Row],[Column8]]=1,J199*K199,"")</f>
        <v>15</v>
      </c>
      <c r="M199" s="72">
        <f>VLOOKUP($B199,'Standards Crosswalk'!$A:$H,3,FALSE)</f>
        <v>0</v>
      </c>
      <c r="N199" s="72">
        <f>VLOOKUP($B199,'Standards Crosswalk'!$A:$H,4,FALSE)</f>
        <v>0</v>
      </c>
      <c r="O199" s="72">
        <f>VLOOKUP($B199,'Standards Crosswalk'!$A:$H,5,FALSE)</f>
        <v>0</v>
      </c>
      <c r="P199" s="72">
        <f>VLOOKUP($B199,'Standards Crosswalk'!$A:$H,6,FALSE)</f>
        <v>0</v>
      </c>
      <c r="Q199" s="72">
        <f>VLOOKUP($B199,'Standards Crosswalk'!$A:$H,7,FALSE)</f>
        <v>0</v>
      </c>
      <c r="R199" s="72">
        <f>VLOOKUP($B199,'Standards Crosswalk'!$A:$H,8,FALSE)</f>
        <v>0</v>
      </c>
      <c r="S199" s="72">
        <f>VLOOKUP($B199,'Standards Crosswalk'!$A:$I,9,FALSE)</f>
        <v>0</v>
      </c>
    </row>
    <row r="200" spans="1:19" ht="106" thickBot="1" x14ac:dyDescent="0.2">
      <c r="A200" s="71">
        <f t="shared" si="6"/>
        <v>198</v>
      </c>
      <c r="B200" s="77" t="s">
        <v>363</v>
      </c>
      <c r="C200" s="78" t="str">
        <f>VLOOKUP(B200,'HECVAT - Full'!A:E,2,FALSE)</f>
        <v>Can you provide an evaluation site to the institution for testing?</v>
      </c>
      <c r="D200" s="71" t="str">
        <f>VLOOKUP(B200,'HECVAT - Full'!A:E,4,FALSE)</f>
        <v>Institutions may request a pilot of Pronto.</v>
      </c>
      <c r="E200" s="79" t="b">
        <f>IF(Table1[[#This Row],[Column11]]&gt;20,TRUE,FALSE)</f>
        <v>0</v>
      </c>
      <c r="F200" s="79" t="s">
        <v>2040</v>
      </c>
      <c r="G200" s="80" t="s">
        <v>16</v>
      </c>
      <c r="H200" s="81">
        <v>1</v>
      </c>
      <c r="I200" s="71" t="str">
        <f>VLOOKUP(B200,'HECVAT - Full'!A:E,3,FALSE)</f>
        <v>Yes</v>
      </c>
      <c r="J200" s="71">
        <f>IF(Table1[[#This Row],[Column7]]=Table1[[#This Row],[Column9]],1,0)</f>
        <v>1</v>
      </c>
      <c r="K200" s="71">
        <f>IF(Table1[[#This Row],[Column8]]=1,15,"")</f>
        <v>15</v>
      </c>
      <c r="L200" s="71">
        <f>IF(Table1[[#This Row],[Column8]]=1,J200*K200,"")</f>
        <v>15</v>
      </c>
      <c r="M200" s="72">
        <f>VLOOKUP($B200,'Standards Crosswalk'!$A:$H,3,FALSE)</f>
        <v>0</v>
      </c>
      <c r="N200" s="72">
        <f>VLOOKUP($B200,'Standards Crosswalk'!$A:$H,4,FALSE)</f>
        <v>0</v>
      </c>
      <c r="O200" s="72">
        <f>VLOOKUP($B200,'Standards Crosswalk'!$A:$H,5,FALSE)</f>
        <v>0</v>
      </c>
      <c r="P200" s="72" t="str">
        <f>VLOOKUP($B200,'Standards Crosswalk'!$A:$H,6,FALSE)</f>
        <v>PR.DS-7</v>
      </c>
      <c r="Q200" s="72">
        <f>VLOOKUP($B200,'Standards Crosswalk'!$A:$H,7,FALSE)</f>
        <v>0</v>
      </c>
      <c r="R200" s="72">
        <f>VLOOKUP($B200,'Standards Crosswalk'!$A:$H,8,FALSE)</f>
        <v>0</v>
      </c>
      <c r="S200" s="72">
        <f>VLOOKUP($B200,'Standards Crosswalk'!$A:$I,9,FALSE)</f>
        <v>0</v>
      </c>
    </row>
    <row r="201" spans="1:19" ht="409.6" thickBot="1" x14ac:dyDescent="0.2">
      <c r="A201" s="71">
        <f t="shared" si="6"/>
        <v>199</v>
      </c>
      <c r="B201" s="77" t="s">
        <v>364</v>
      </c>
      <c r="C201" s="78" t="str">
        <f>VLOOKUP(B201,'HECVAT - Full'!A:E,2,FALSE)</f>
        <v>Provide a general summary of your Quality Assurance program.</v>
      </c>
      <c r="D201" s="71">
        <f>VLOOKUP(B201,'HECVAT - Full'!A:E,4,FALSE)</f>
        <v>0</v>
      </c>
      <c r="E201" s="79" t="b">
        <f>IF(Table1[[#This Row],[Column11]]&gt;20,TRUE,FALSE)</f>
        <v>0</v>
      </c>
      <c r="F201" s="79" t="s">
        <v>2041</v>
      </c>
      <c r="G201" s="80" t="s">
        <v>16</v>
      </c>
      <c r="H201" s="81">
        <v>1</v>
      </c>
      <c r="I201" s="71" t="str">
        <f>VLOOKUP(B201,'HECVAT - Full'!A:E,3,FALSE)</f>
        <v xml:space="preserve">New builds always go into a test environment where, through a combination of manual and automated testing, they are evaluated for bugs.  Issues identified on production are resolved as quickly as possible after patches are rigourously tested again on sandbox and staging environments. </v>
      </c>
      <c r="J201" s="71">
        <f>IF(VLOOKUP(Table1[[#This Row],[Column2]],'Analyst Report'!$A$41:$G$88,7,FALSE)="Yes",1,0)</f>
        <v>0</v>
      </c>
      <c r="K201" s="71">
        <f>IF(Table1[[#This Row],[Column8]]=1,15,"")</f>
        <v>15</v>
      </c>
      <c r="L201" s="71">
        <f>IF(Table1[[#This Row],[Column8]]=1,J201*K201,"")</f>
        <v>0</v>
      </c>
      <c r="M201" s="72" t="str">
        <f>VLOOKUP($B201,'Standards Crosswalk'!$A:$H,3,FALSE)</f>
        <v>CSC 13</v>
      </c>
      <c r="N201" s="72">
        <f>VLOOKUP($B201,'Standards Crosswalk'!$A:$H,4,FALSE)</f>
        <v>0</v>
      </c>
      <c r="O201" s="72">
        <f>VLOOKUP($B201,'Standards Crosswalk'!$A:$H,5,FALSE)</f>
        <v>0</v>
      </c>
      <c r="P201" s="72">
        <f>VLOOKUP($B201,'Standards Crosswalk'!$A:$H,6,FALSE)</f>
        <v>0</v>
      </c>
      <c r="Q201" s="72">
        <f>VLOOKUP($B201,'Standards Crosswalk'!$A:$H,7,FALSE)</f>
        <v>0</v>
      </c>
      <c r="R201" s="72">
        <f>VLOOKUP($B201,'Standards Crosswalk'!$A:$H,8,FALSE)</f>
        <v>0</v>
      </c>
      <c r="S201" s="72">
        <f>VLOOKUP($B201,'Standards Crosswalk'!$A:$I,9,FALSE)</f>
        <v>0</v>
      </c>
    </row>
    <row r="202" spans="1:19" ht="181" thickBot="1" x14ac:dyDescent="0.2">
      <c r="A202" s="71">
        <f t="shared" si="6"/>
        <v>200</v>
      </c>
      <c r="B202" s="77" t="s">
        <v>365</v>
      </c>
      <c r="C202" s="78" t="str">
        <f>VLOOKUP(B202,'HECVAT - Full'!A:E,2,FALSE)</f>
        <v>Do you comply with ISO 9001?</v>
      </c>
      <c r="D202" s="71" t="str">
        <f>VLOOKUP(B202,'HECVAT - Full'!A:E,4,FALSE)</f>
        <v>We do not currently have a plans to be certified as ISO 9001 compliant.</v>
      </c>
      <c r="E202" s="79" t="b">
        <f>IF(Table1[[#This Row],[Column11]]&gt;20,TRUE,FALSE)</f>
        <v>0</v>
      </c>
      <c r="F202" s="79" t="s">
        <v>2041</v>
      </c>
      <c r="G202" s="80" t="s">
        <v>16</v>
      </c>
      <c r="H202" s="81">
        <v>1</v>
      </c>
      <c r="I202" s="71" t="str">
        <f>VLOOKUP(B202,'HECVAT - Full'!A:E,3,FALSE)</f>
        <v>No</v>
      </c>
      <c r="J202" s="71">
        <f>IF(Table1[[#This Row],[Column7]]=Table1[[#This Row],[Column9]],1,0)</f>
        <v>0</v>
      </c>
      <c r="K202" s="71">
        <f>IF(Table1[[#This Row],[Column8]]=1,15,"")</f>
        <v>15</v>
      </c>
      <c r="L202" s="71">
        <f>IF(Table1[[#This Row],[Column8]]=1,J202*K202,"")</f>
        <v>0</v>
      </c>
      <c r="M202" s="72" t="str">
        <f>VLOOKUP($B202,'Standards Crosswalk'!$A:$H,3,FALSE)</f>
        <v>CSC 13</v>
      </c>
      <c r="N202" s="72">
        <f>VLOOKUP($B202,'Standards Crosswalk'!$A:$H,4,FALSE)</f>
        <v>0</v>
      </c>
      <c r="O202" s="72" t="str">
        <f>VLOOKUP($B202,'Standards Crosswalk'!$A:$H,5,FALSE)</f>
        <v>18.1.1</v>
      </c>
      <c r="P202" s="72">
        <f>VLOOKUP($B202,'Standards Crosswalk'!$A:$H,6,FALSE)</f>
        <v>0</v>
      </c>
      <c r="Q202" s="72">
        <f>VLOOKUP($B202,'Standards Crosswalk'!$A:$H,7,FALSE)</f>
        <v>0</v>
      </c>
      <c r="R202" s="72">
        <f>VLOOKUP($B202,'Standards Crosswalk'!$A:$H,8,FALSE)</f>
        <v>0</v>
      </c>
      <c r="S202" s="72">
        <f>VLOOKUP($B202,'Standards Crosswalk'!$A:$I,9,FALSE)</f>
        <v>0</v>
      </c>
    </row>
    <row r="203" spans="1:19" ht="286" thickBot="1" x14ac:dyDescent="0.2">
      <c r="A203" s="71">
        <f t="shared" si="6"/>
        <v>201</v>
      </c>
      <c r="B203" s="77" t="s">
        <v>366</v>
      </c>
      <c r="C203" s="78" t="str">
        <f>VLOOKUP(B203,'HECVAT - Full'!A:E,2,FALSE)</f>
        <v>Will your company provide quality and performance metrics in relation to the scope of services and performance expectations for the services you are offering?</v>
      </c>
      <c r="D203" s="71" t="str">
        <f>VLOOKUP(B203,'HECVAT - Full'!A:E,4,FALSE)</f>
        <v>Hit Labs provides a 99.85% Service Level Agreement. Uptime status is available at https://status.pronto.io</v>
      </c>
      <c r="E203" s="79" t="b">
        <f>IF(Table1[[#This Row],[Column11]]&gt;20,TRUE,FALSE)</f>
        <v>0</v>
      </c>
      <c r="F203" s="79" t="s">
        <v>2041</v>
      </c>
      <c r="G203" s="80" t="s">
        <v>16</v>
      </c>
      <c r="H203" s="81">
        <v>1</v>
      </c>
      <c r="I203" s="71" t="str">
        <f>VLOOKUP(B203,'HECVAT - Full'!A:E,3,FALSE)</f>
        <v>Yes</v>
      </c>
      <c r="J203" s="71">
        <f>IF(Table1[[#This Row],[Column7]]=Table1[[#This Row],[Column9]],1,0)</f>
        <v>1</v>
      </c>
      <c r="K203" s="71">
        <f>IF(Table1[[#This Row],[Column8]]=1,15,"")</f>
        <v>15</v>
      </c>
      <c r="L203" s="71">
        <f>IF(Table1[[#This Row],[Column8]]=1,J203*K203,"")</f>
        <v>15</v>
      </c>
      <c r="M203" s="72" t="str">
        <f>VLOOKUP($B203,'Standards Crosswalk'!$A:$H,3,FALSE)</f>
        <v>CSC 13</v>
      </c>
      <c r="N203" s="72">
        <f>VLOOKUP($B203,'Standards Crosswalk'!$A:$H,4,FALSE)</f>
        <v>0</v>
      </c>
      <c r="O203" s="72">
        <f>VLOOKUP($B203,'Standards Crosswalk'!$A:$H,5,FALSE)</f>
        <v>0</v>
      </c>
      <c r="P203" s="72">
        <f>VLOOKUP($B203,'Standards Crosswalk'!$A:$H,6,FALSE)</f>
        <v>0</v>
      </c>
      <c r="Q203" s="72">
        <f>VLOOKUP($B203,'Standards Crosswalk'!$A:$H,7,FALSE)</f>
        <v>0</v>
      </c>
      <c r="R203" s="72">
        <f>VLOOKUP($B203,'Standards Crosswalk'!$A:$H,8,FALSE)</f>
        <v>0</v>
      </c>
      <c r="S203" s="72">
        <f>VLOOKUP($B203,'Standards Crosswalk'!$A:$I,9,FALSE)</f>
        <v>0</v>
      </c>
    </row>
    <row r="204" spans="1:19" ht="196" thickBot="1" x14ac:dyDescent="0.2">
      <c r="A204" s="71">
        <f t="shared" si="6"/>
        <v>202</v>
      </c>
      <c r="B204" s="77" t="s">
        <v>367</v>
      </c>
      <c r="C204" s="78" t="str">
        <f>VLOOKUP(B204,'HECVAT - Full'!A:E,2,FALSE)</f>
        <v>Have you supplied products and/or services to the Institution (or its Campuses) in the last five years?</v>
      </c>
      <c r="D204" s="71" t="str">
        <f>VLOOKUP(B204,'HECVAT - Full'!A:E,4,FALSE)</f>
        <v>This answer varies by the institution making the request. Please contact us.</v>
      </c>
      <c r="E204" s="79" t="b">
        <f>IF(Table1[[#This Row],[Column11]]&gt;20,TRUE,FALSE)</f>
        <v>0</v>
      </c>
      <c r="F204" s="79" t="s">
        <v>2041</v>
      </c>
      <c r="G204" s="80" t="s">
        <v>16</v>
      </c>
      <c r="H204" s="81">
        <v>1</v>
      </c>
      <c r="I204" s="71" t="str">
        <f>VLOOKUP(B204,'HECVAT - Full'!A:E,3,FALSE)</f>
        <v>No</v>
      </c>
      <c r="J204" s="71">
        <f>IF(Table1[[#This Row],[Column7]]=Table1[[#This Row],[Column9]],1,0)</f>
        <v>0</v>
      </c>
      <c r="K204" s="71">
        <f>IF(Table1[[#This Row],[Column8]]=1,15,"")</f>
        <v>15</v>
      </c>
      <c r="L204" s="71">
        <f>IF(Table1[[#This Row],[Column8]]=1,J204*K204,"")</f>
        <v>0</v>
      </c>
      <c r="M204" s="72">
        <f>VLOOKUP($B204,'Standards Crosswalk'!$A:$H,3,FALSE)</f>
        <v>0</v>
      </c>
      <c r="N204" s="72">
        <f>VLOOKUP($B204,'Standards Crosswalk'!$A:$H,4,FALSE)</f>
        <v>0</v>
      </c>
      <c r="O204" s="72">
        <f>VLOOKUP($B204,'Standards Crosswalk'!$A:$H,5,FALSE)</f>
        <v>0</v>
      </c>
      <c r="P204" s="72">
        <f>VLOOKUP($B204,'Standards Crosswalk'!$A:$H,6,FALSE)</f>
        <v>0</v>
      </c>
      <c r="Q204" s="72">
        <f>VLOOKUP($B204,'Standards Crosswalk'!$A:$H,7,FALSE)</f>
        <v>0</v>
      </c>
      <c r="R204" s="72">
        <f>VLOOKUP($B204,'Standards Crosswalk'!$A:$H,8,FALSE)</f>
        <v>0</v>
      </c>
      <c r="S204" s="72">
        <f>VLOOKUP($B204,'Standards Crosswalk'!$A:$I,9,FALSE)</f>
        <v>0</v>
      </c>
    </row>
    <row r="205" spans="1:19" ht="181" thickBot="1" x14ac:dyDescent="0.2">
      <c r="A205" s="71">
        <f t="shared" si="6"/>
        <v>203</v>
      </c>
      <c r="B205" s="77" t="s">
        <v>368</v>
      </c>
      <c r="C205" s="78" t="str">
        <f>VLOOKUP(B205,'HECVAT - Full'!A:E,2,FALSE)</f>
        <v>Do you have a program to keep your customers abreast of higher education and/or industry issues?</v>
      </c>
      <c r="D205" s="71" t="str">
        <f>VLOOKUP(B205,'HECVAT - Full'!A:E,4,FALSE)</f>
        <v xml:space="preserve">We do not currently have formal plans to take this on as a formal responsibility. </v>
      </c>
      <c r="E205" s="79" t="b">
        <f>IF(Table1[[#This Row],[Column11]]&gt;20,TRUE,FALSE)</f>
        <v>0</v>
      </c>
      <c r="F205" s="79" t="s">
        <v>2041</v>
      </c>
      <c r="G205" s="80" t="s">
        <v>16</v>
      </c>
      <c r="H205" s="81">
        <v>1</v>
      </c>
      <c r="I205" s="71" t="str">
        <f>VLOOKUP(B205,'HECVAT - Full'!A:E,3,FALSE)</f>
        <v>No</v>
      </c>
      <c r="J205" s="71">
        <f>IF(Table1[[#This Row],[Column7]]=Table1[[#This Row],[Column9]],1,0)</f>
        <v>0</v>
      </c>
      <c r="K205" s="71">
        <f>IF(Table1[[#This Row],[Column8]]=1,15,"")</f>
        <v>15</v>
      </c>
      <c r="L205" s="71">
        <f>IF(Table1[[#This Row],[Column8]]=1,J205*K205,"")</f>
        <v>0</v>
      </c>
      <c r="M205" s="72" t="str">
        <f>VLOOKUP($B205,'Standards Crosswalk'!$A:$H,3,FALSE)</f>
        <v>CSC 17</v>
      </c>
      <c r="N205" s="72">
        <f>VLOOKUP($B205,'Standards Crosswalk'!$A:$H,4,FALSE)</f>
        <v>0</v>
      </c>
      <c r="O205" s="72">
        <f>VLOOKUP($B205,'Standards Crosswalk'!$A:$H,5,FALSE)</f>
        <v>0</v>
      </c>
      <c r="P205" s="72">
        <f>VLOOKUP($B205,'Standards Crosswalk'!$A:$H,6,FALSE)</f>
        <v>0</v>
      </c>
      <c r="Q205" s="72">
        <f>VLOOKUP($B205,'Standards Crosswalk'!$A:$H,7,FALSE)</f>
        <v>0</v>
      </c>
      <c r="R205" s="72">
        <f>VLOOKUP($B205,'Standards Crosswalk'!$A:$H,8,FALSE)</f>
        <v>0</v>
      </c>
      <c r="S205" s="72">
        <f>VLOOKUP($B205,'Standards Crosswalk'!$A:$I,9,FALSE)</f>
        <v>0</v>
      </c>
    </row>
    <row r="206" spans="1:19" ht="409.6" thickBot="1" x14ac:dyDescent="0.2">
      <c r="A206" s="71">
        <f t="shared" si="6"/>
        <v>204</v>
      </c>
      <c r="B206" s="77" t="s">
        <v>369</v>
      </c>
      <c r="C206" s="78" t="str">
        <f>VLOOKUP(B206,'HECVAT - Full'!A:E,2,FALSE)</f>
        <v>Are systems that support this service managed via a separate management network?</v>
      </c>
      <c r="D206" s="71" t="str">
        <f>VLOOKUP(B206,'HECVAT - Full'!A:E,4,FALSE)</f>
        <v>All management tasks require the use of a secure VPN protected by hardware-based MFA tokens from computers secured by the company's device-management program.</v>
      </c>
      <c r="E206" s="79" t="b">
        <f>IF(Table1[[#This Row],[Column11]]&gt;20,TRUE,FALSE)</f>
        <v>1</v>
      </c>
      <c r="F206" s="79" t="s">
        <v>2042</v>
      </c>
      <c r="G206" s="80" t="s">
        <v>16</v>
      </c>
      <c r="H206" s="81">
        <v>1</v>
      </c>
      <c r="I206" s="71" t="str">
        <f>VLOOKUP(B206,'HECVAT - Full'!A:E,3,FALSE)</f>
        <v>No</v>
      </c>
      <c r="J206" s="71">
        <f>IF(Table1[[#This Row],[Column7]]=Table1[[#This Row],[Column9]],1,0)</f>
        <v>0</v>
      </c>
      <c r="K206" s="71">
        <f>IF(Table1[[#This Row],[Column8]]=1,25,"")</f>
        <v>25</v>
      </c>
      <c r="L206" s="71">
        <f>IF(Table1[[#This Row],[Column8]]=1,J206*K206,"")</f>
        <v>0</v>
      </c>
      <c r="M206" s="72" t="str">
        <f>VLOOKUP($B206,'Standards Crosswalk'!$A:$H,3,FALSE)</f>
        <v>CSC 12</v>
      </c>
      <c r="N206" s="72">
        <f>VLOOKUP($B206,'Standards Crosswalk'!$A:$H,4,FALSE)</f>
        <v>0</v>
      </c>
      <c r="O206" s="72" t="str">
        <f>VLOOKUP($B206,'Standards Crosswalk'!$A:$H,5,FALSE)</f>
        <v>13.1.1</v>
      </c>
      <c r="P206" s="72" t="str">
        <f>VLOOKUP($B206,'Standards Crosswalk'!$A:$H,6,FALSE)</f>
        <v>PR.PT-4</v>
      </c>
      <c r="Q206" s="72" t="str">
        <f>VLOOKUP($B206,'Standards Crosswalk'!$A:$H,7,FALSE)</f>
        <v>3.1.3</v>
      </c>
      <c r="R206" s="72" t="str">
        <f>VLOOKUP($B206,'Standards Crosswalk'!$A:$H,8,FALSE)</f>
        <v>AC-4</v>
      </c>
      <c r="S206" s="72">
        <f>VLOOKUP($B206,'Standards Crosswalk'!$A:$I,9,FALSE)</f>
        <v>0</v>
      </c>
    </row>
    <row r="207" spans="1:19" ht="409.6" thickBot="1" x14ac:dyDescent="0.2">
      <c r="A207" s="71">
        <f t="shared" si="6"/>
        <v>205</v>
      </c>
      <c r="B207" s="77" t="s">
        <v>370</v>
      </c>
      <c r="C207" s="78" t="str">
        <f>VLOOKUP(B207,'HECVAT - Full'!A:E,2,FALSE)</f>
        <v>Do you have an implemented system configuration management process? (e.g. secure "gold" images, etc.)</v>
      </c>
      <c r="D207" s="71" t="str">
        <f>VLOOKUP(B207,'HECVAT - Full'!A:E,4,FALSE)</f>
        <v>Change to system configurations happen directly via the AWS management console or through the AWS CLI. Only limited authorized DevOps personal have access, and all changes are logged.</v>
      </c>
      <c r="E207" s="79" t="b">
        <f>IF(Table1[[#This Row],[Column11]]&gt;20,TRUE,FALSE)</f>
        <v>0</v>
      </c>
      <c r="F207" s="79" t="s">
        <v>2042</v>
      </c>
      <c r="G207" s="80" t="s">
        <v>16</v>
      </c>
      <c r="H207" s="81">
        <v>1</v>
      </c>
      <c r="I207" s="71" t="str">
        <f>VLOOKUP(B207,'HECVAT - Full'!A:E,3,FALSE)</f>
        <v>No</v>
      </c>
      <c r="J207" s="71">
        <f>IF(Table1[[#This Row],[Column7]]=Table1[[#This Row],[Column9]],1,0)</f>
        <v>0</v>
      </c>
      <c r="K207" s="71">
        <f>IF(Table1[[#This Row],[Column8]]=1,10,"")</f>
        <v>10</v>
      </c>
      <c r="L207" s="71">
        <f>IF(Table1[[#This Row],[Column8]]=1,J207*K207,"")</f>
        <v>0</v>
      </c>
      <c r="M207" s="72" t="str">
        <f>VLOOKUP($B207,'Standards Crosswalk'!$A:$H,3,FALSE)</f>
        <v>CSC 3</v>
      </c>
      <c r="N207" s="72">
        <f>VLOOKUP($B207,'Standards Crosswalk'!$A:$H,4,FALSE)</f>
        <v>0</v>
      </c>
      <c r="O207" s="72">
        <f>VLOOKUP($B207,'Standards Crosswalk'!$A:$H,5,FALSE)</f>
        <v>0</v>
      </c>
      <c r="P207" s="72" t="str">
        <f>VLOOKUP($B207,'Standards Crosswalk'!$A:$H,6,FALSE)</f>
        <v>PR.IP-1</v>
      </c>
      <c r="Q207" s="72" t="str">
        <f>VLOOKUP($B207,'Standards Crosswalk'!$A:$H,7,FALSE)</f>
        <v>3.4.1, 3.4.2, 3.4.3</v>
      </c>
      <c r="R207" s="72" t="str">
        <f>VLOOKUP($B207,'Standards Crosswalk'!$A:$H,8,FALSE)</f>
        <v>CM-2, CM-3, CM-6, CM-8</v>
      </c>
      <c r="S207" s="72">
        <f>VLOOKUP($B207,'Standards Crosswalk'!$A:$I,9,FALSE)</f>
        <v>0</v>
      </c>
    </row>
    <row r="208" spans="1:19" ht="151" thickBot="1" x14ac:dyDescent="0.2">
      <c r="A208" s="71">
        <f t="shared" si="6"/>
        <v>206</v>
      </c>
      <c r="B208" s="77" t="s">
        <v>371</v>
      </c>
      <c r="C208" s="78" t="str">
        <f>VLOOKUP(B208,'HECVAT - Full'!A:E,2,FALSE)</f>
        <v>Are employee mobile devices managed by your company's Mobile Device Management (MDM) platform?</v>
      </c>
      <c r="D208" s="71" t="str">
        <f>VLOOKUP(B208,'HECVAT - Full'!A:E,4,FALSE)</f>
        <v>Mobile devices are not used to access any system level resources.</v>
      </c>
      <c r="E208" s="79" t="b">
        <f>IF(Table1[[#This Row],[Column11]]&gt;20,TRUE,FALSE)</f>
        <v>0</v>
      </c>
      <c r="F208" s="79" t="s">
        <v>2042</v>
      </c>
      <c r="G208" s="80" t="s">
        <v>16</v>
      </c>
      <c r="H208" s="81">
        <v>1</v>
      </c>
      <c r="I208" s="71" t="str">
        <f>VLOOKUP(B208,'HECVAT - Full'!A:E,3,FALSE)</f>
        <v>No</v>
      </c>
      <c r="J208" s="71">
        <f>IF(Table1[[#This Row],[Column7]]=Table1[[#This Row],[Column9]],1,0)</f>
        <v>0</v>
      </c>
      <c r="K208" s="71">
        <f>IF(Table1[[#This Row],[Column8]]=1,15,"")</f>
        <v>15</v>
      </c>
      <c r="L208" s="71">
        <f>IF(Table1[[#This Row],[Column8]]=1,J208*K208,"")</f>
        <v>0</v>
      </c>
      <c r="M208" s="72" t="str">
        <f>VLOOKUP($B208,'Standards Crosswalk'!$A:$H,3,FALSE)</f>
        <v>CSC 3</v>
      </c>
      <c r="N208" s="72">
        <f>VLOOKUP($B208,'Standards Crosswalk'!$A:$H,4,FALSE)</f>
        <v>0</v>
      </c>
      <c r="O208" s="72" t="str">
        <f>VLOOKUP($B208,'Standards Crosswalk'!$A:$H,5,FALSE)</f>
        <v>6.2.1</v>
      </c>
      <c r="P208" s="72">
        <f>VLOOKUP($B208,'Standards Crosswalk'!$A:$H,6,FALSE)</f>
        <v>0</v>
      </c>
      <c r="Q208" s="72" t="str">
        <f>VLOOKUP($B208,'Standards Crosswalk'!$A:$H,7,FALSE)</f>
        <v>3.13.13</v>
      </c>
      <c r="R208" s="72">
        <f>VLOOKUP($B208,'Standards Crosswalk'!$A:$H,8,FALSE)</f>
        <v>0</v>
      </c>
      <c r="S208" s="72">
        <f>VLOOKUP($B208,'Standards Crosswalk'!$A:$I,9,FALSE)</f>
        <v>0</v>
      </c>
    </row>
    <row r="209" spans="1:19" ht="106" thickBot="1" x14ac:dyDescent="0.2">
      <c r="A209" s="71">
        <f t="shared" si="6"/>
        <v>207</v>
      </c>
      <c r="B209" s="77" t="s">
        <v>372</v>
      </c>
      <c r="C209" s="78" t="str">
        <f>VLOOKUP(B209,'HECVAT - Full'!A:E,2,FALSE)</f>
        <v>Do you have a systems management and configuration strategy that encompasses servers, appliances, and mobile devices (company and employee owned)?</v>
      </c>
      <c r="D209" s="71" t="str">
        <f>VLOOKUP(B209,'HECVAT - Full'!A:E,4,FALSE)</f>
        <v>Please see Information Security Policy</v>
      </c>
      <c r="E209" s="79" t="b">
        <f>IF(Table1[[#This Row],[Column11]]&gt;20,TRUE,FALSE)</f>
        <v>0</v>
      </c>
      <c r="F209" s="79" t="s">
        <v>2042</v>
      </c>
      <c r="G209" s="80" t="s">
        <v>16</v>
      </c>
      <c r="H209" s="81">
        <v>1</v>
      </c>
      <c r="I209" s="71" t="str">
        <f>VLOOKUP(B209,'HECVAT - Full'!A:E,3,FALSE)</f>
        <v>Yes</v>
      </c>
      <c r="J209" s="71">
        <f>IF(Table1[[#This Row],[Column7]]=Table1[[#This Row],[Column9]],1,0)</f>
        <v>1</v>
      </c>
      <c r="K209" s="71">
        <f>IF(Table1[[#This Row],[Column8]]=1,20,"")</f>
        <v>20</v>
      </c>
      <c r="L209" s="71">
        <f>IF(Table1[[#This Row],[Column8]]=1,J209*K209,"")</f>
        <v>20</v>
      </c>
      <c r="M209" s="72" t="str">
        <f>VLOOKUP($B209,'Standards Crosswalk'!$A:$H,3,FALSE)</f>
        <v>CSC 3</v>
      </c>
      <c r="N209" s="72">
        <f>VLOOKUP($B209,'Standards Crosswalk'!$A:$H,4,FALSE)</f>
        <v>0</v>
      </c>
      <c r="O209" s="72" t="str">
        <f>VLOOKUP($B209,'Standards Crosswalk'!$A:$H,5,FALSE)</f>
        <v>12.1.1</v>
      </c>
      <c r="P209" s="72" t="str">
        <f>VLOOKUP($B209,'Standards Crosswalk'!$A:$H,6,FALSE)</f>
        <v>PR.IP-1, PR.IP-2</v>
      </c>
      <c r="Q209" s="72" t="str">
        <f>VLOOKUP($B209,'Standards Crosswalk'!$A:$H,7,FALSE)</f>
        <v>3.1.18, 3.7.1, 3.13.13</v>
      </c>
      <c r="R209" s="72" t="str">
        <f>VLOOKUP($B209,'Standards Crosswalk'!$A:$H,8,FALSE)</f>
        <v>CM-2, CM-6, CM-3, AC-19, MA-2</v>
      </c>
      <c r="S209" s="72">
        <f>VLOOKUP($B209,'Standards Crosswalk'!$A:$I,9,FALSE)</f>
        <v>0</v>
      </c>
    </row>
    <row r="210" spans="1:19" ht="196" thickBot="1" x14ac:dyDescent="0.2">
      <c r="A210" s="71">
        <f t="shared" si="6"/>
        <v>208</v>
      </c>
      <c r="B210" s="77" t="s">
        <v>373</v>
      </c>
      <c r="C210" s="78" t="str">
        <f>VLOOKUP(B210,'HECVAT - Full'!A:E,2,FALSE)</f>
        <v>Are your applications scanned externally for vulnerabilities?</v>
      </c>
      <c r="D210" s="71" t="str">
        <f>VLOOKUP(B210,'HECVAT - Full'!A:E,4,FALSE)</f>
        <v>We plan to implement external vulnerability scanning by end of Q2 2021</v>
      </c>
      <c r="E210" s="79" t="b">
        <f>IF(Table1[[#This Row],[Column11]]&gt;20,TRUE,FALSE)</f>
        <v>1</v>
      </c>
      <c r="F210" s="79" t="s">
        <v>2043</v>
      </c>
      <c r="G210" s="80" t="s">
        <v>16</v>
      </c>
      <c r="H210" s="81">
        <v>1</v>
      </c>
      <c r="I210" s="71" t="str">
        <f>VLOOKUP(B210,'HECVAT - Full'!A:E,3,FALSE)</f>
        <v>No</v>
      </c>
      <c r="J210" s="71">
        <f>IF(Table1[[#This Row],[Column7]]=Table1[[#This Row],[Column9]],1,0)</f>
        <v>0</v>
      </c>
      <c r="K210" s="71">
        <f>IF(Table1[[#This Row],[Column8]]=1,25,"")</f>
        <v>25</v>
      </c>
      <c r="L210" s="71">
        <f>IF(Table1[[#This Row],[Column8]]=1,J210*K210,"")</f>
        <v>0</v>
      </c>
      <c r="M210" s="72" t="str">
        <f>VLOOKUP($B210,'Standards Crosswalk'!$A:$H,3,FALSE)</f>
        <v>CSC 4</v>
      </c>
      <c r="N210" s="72">
        <f>VLOOKUP($B210,'Standards Crosswalk'!$A:$H,4,FALSE)</f>
        <v>0</v>
      </c>
      <c r="O210" s="72" t="str">
        <f>VLOOKUP($B210,'Standards Crosswalk'!$A:$H,5,FALSE)</f>
        <v>12.6.1</v>
      </c>
      <c r="P210" s="72" t="str">
        <f>VLOOKUP($B210,'Standards Crosswalk'!$A:$H,6,FALSE)</f>
        <v>DE.CM-8</v>
      </c>
      <c r="Q210" s="72" t="str">
        <f>VLOOKUP($B210,'Standards Crosswalk'!$A:$H,7,FALSE)</f>
        <v>3.11.1, 3.11.2, 3.11.3</v>
      </c>
      <c r="R210" s="72" t="str">
        <f>VLOOKUP($B210,'Standards Crosswalk'!$A:$H,8,FALSE)</f>
        <v>SI-2</v>
      </c>
      <c r="S210" s="72">
        <f>VLOOKUP($B210,'Standards Crosswalk'!$A:$I,9,FALSE)</f>
        <v>11.2</v>
      </c>
    </row>
    <row r="211" spans="1:19" ht="46" thickBot="1" x14ac:dyDescent="0.2">
      <c r="A211" s="71">
        <f t="shared" si="6"/>
        <v>209</v>
      </c>
      <c r="B211" s="95" t="s">
        <v>374</v>
      </c>
      <c r="C211" s="78" t="str">
        <f>VLOOKUP(B211,'HECVAT - Full'!A:E,2,FALSE)</f>
        <v>Have your applications had an external vulnerability assessment in the last year?</v>
      </c>
      <c r="D211" s="71">
        <f>VLOOKUP(B211,'HECVAT - Full'!A:E,4,FALSE)</f>
        <v>0</v>
      </c>
      <c r="E211" s="79" t="b">
        <f>IF(Table1[[#This Row],[Column11]]&gt;20,TRUE,FALSE)</f>
        <v>1</v>
      </c>
      <c r="F211" s="79" t="s">
        <v>2043</v>
      </c>
      <c r="G211" s="80" t="s">
        <v>16</v>
      </c>
      <c r="H211" s="81">
        <f>IF(I210="Yes",1,0)</f>
        <v>0</v>
      </c>
      <c r="I211" s="71">
        <f>VLOOKUP(B211,'HECVAT - Full'!A:E,3,FALSE)</f>
        <v>0</v>
      </c>
      <c r="J211" s="71">
        <f>IF(Table1[[#This Row],[Column7]]=Table1[[#This Row],[Column9]],1,0)</f>
        <v>0</v>
      </c>
      <c r="K211" s="71" t="str">
        <f>IF(Table1[[#This Row],[Column8]]=1,25,"")</f>
        <v/>
      </c>
      <c r="L211" s="71" t="str">
        <f>IF(Table1[[#This Row],[Column8]]=1,J211*K211,"")</f>
        <v/>
      </c>
      <c r="M211" s="72" t="str">
        <f>VLOOKUP($B211,'Standards Crosswalk'!$A:$H,3,FALSE)</f>
        <v>CSC 4</v>
      </c>
      <c r="N211" s="72">
        <f>VLOOKUP($B211,'Standards Crosswalk'!$A:$H,4,FALSE)</f>
        <v>0</v>
      </c>
      <c r="O211" s="72" t="str">
        <f>VLOOKUP($B211,'Standards Crosswalk'!$A:$H,5,FALSE)</f>
        <v>12.6.1</v>
      </c>
      <c r="P211" s="72" t="str">
        <f>VLOOKUP($B211,'Standards Crosswalk'!$A:$H,6,FALSE)</f>
        <v>DE.CM-8</v>
      </c>
      <c r="Q211" s="72" t="str">
        <f>VLOOKUP($B211,'Standards Crosswalk'!$A:$H,7,FALSE)</f>
        <v>3.11.1, 3.11.2, 3.11.3</v>
      </c>
      <c r="R211" s="72" t="str">
        <f>VLOOKUP($B211,'Standards Crosswalk'!$A:$H,8,FALSE)</f>
        <v>SI-2</v>
      </c>
      <c r="S211" s="72">
        <f>VLOOKUP($B211,'Standards Crosswalk'!$A:$I,9,FALSE)</f>
        <v>11.2</v>
      </c>
    </row>
    <row r="212" spans="1:19" ht="226" thickBot="1" x14ac:dyDescent="0.2">
      <c r="A212" s="71">
        <f t="shared" si="6"/>
        <v>210</v>
      </c>
      <c r="B212" s="77" t="s">
        <v>375</v>
      </c>
      <c r="C212" s="78" t="str">
        <f>VLOOKUP(B212,'HECVAT - Full'!A:E,2,FALSE)</f>
        <v>Are your applications scanned for vulnerabilities prior to new releases?</v>
      </c>
      <c r="D212" s="71" t="str">
        <f>VLOOKUP(B212,'HECVAT - Full'!A:E,4,FALSE)</f>
        <v>We use GitHub Code Scanning to alert us of vulnerabilities in externally used libraries.</v>
      </c>
      <c r="E212" s="79" t="b">
        <f>IF(Table1[[#This Row],[Column11]]&gt;20,TRUE,FALSE)</f>
        <v>0</v>
      </c>
      <c r="F212" s="79" t="s">
        <v>2043</v>
      </c>
      <c r="G212" s="80" t="s">
        <v>16</v>
      </c>
      <c r="H212" s="81">
        <v>1</v>
      </c>
      <c r="I212" s="71" t="str">
        <f>VLOOKUP(B212,'HECVAT - Full'!A:E,3,FALSE)</f>
        <v>Yes</v>
      </c>
      <c r="J212" s="71">
        <f>IF(Table1[[#This Row],[Column7]]=Table1[[#This Row],[Column9]],1,0)</f>
        <v>1</v>
      </c>
      <c r="K212" s="71">
        <f>IF(Table1[[#This Row],[Column8]]=1,20,"")</f>
        <v>20</v>
      </c>
      <c r="L212" s="71">
        <f>IF(Table1[[#This Row],[Column8]]=1,J212*K212,"")</f>
        <v>20</v>
      </c>
      <c r="M212" s="72" t="str">
        <f>VLOOKUP($B212,'Standards Crosswalk'!$A:$H,3,FALSE)</f>
        <v>CSC 4</v>
      </c>
      <c r="N212" s="72">
        <f>VLOOKUP($B212,'Standards Crosswalk'!$A:$H,4,FALSE)</f>
        <v>0</v>
      </c>
      <c r="O212" s="72">
        <f>VLOOKUP($B212,'Standards Crosswalk'!$A:$H,5,FALSE)</f>
        <v>0</v>
      </c>
      <c r="P212" s="72" t="str">
        <f>VLOOKUP($B212,'Standards Crosswalk'!$A:$H,6,FALSE)</f>
        <v>DE.CM-8</v>
      </c>
      <c r="Q212" s="72" t="str">
        <f>VLOOKUP($B212,'Standards Crosswalk'!$A:$H,7,FALSE)</f>
        <v>3.11.1, 3.11.2, 3.11.3</v>
      </c>
      <c r="R212" s="72" t="str">
        <f>VLOOKUP($B212,'Standards Crosswalk'!$A:$H,8,FALSE)</f>
        <v>SI-2</v>
      </c>
      <c r="S212" s="72">
        <f>VLOOKUP($B212,'Standards Crosswalk'!$A:$I,9,FALSE)</f>
        <v>11.2</v>
      </c>
    </row>
    <row r="213" spans="1:19" ht="196" thickBot="1" x14ac:dyDescent="0.2">
      <c r="A213" s="71">
        <f t="shared" si="6"/>
        <v>211</v>
      </c>
      <c r="B213" s="77" t="s">
        <v>376</v>
      </c>
      <c r="C213" s="78" t="str">
        <f>VLOOKUP(B213,'HECVAT - Full'!A:E,2,FALSE)</f>
        <v>Are your systems scanned externally for vulnerabilities?</v>
      </c>
      <c r="D213" s="71" t="str">
        <f>VLOOKUP(B213,'HECVAT - Full'!A:E,4,FALSE)</f>
        <v>We plan to implement external vulnerability scanning by end of Q2 2021</v>
      </c>
      <c r="E213" s="79" t="b">
        <f>IF(Table1[[#This Row],[Column11]]&gt;20,TRUE,FALSE)</f>
        <v>1</v>
      </c>
      <c r="F213" s="79" t="s">
        <v>2043</v>
      </c>
      <c r="G213" s="80" t="s">
        <v>16</v>
      </c>
      <c r="H213" s="81">
        <v>1</v>
      </c>
      <c r="I213" s="71" t="str">
        <f>VLOOKUP(B213,'HECVAT - Full'!A:E,3,FALSE)</f>
        <v>No</v>
      </c>
      <c r="J213" s="71">
        <f>IF(Table1[[#This Row],[Column7]]=Table1[[#This Row],[Column9]],1,0)</f>
        <v>0</v>
      </c>
      <c r="K213" s="71">
        <f>IF(Table1[[#This Row],[Column8]]=1,25,"")</f>
        <v>25</v>
      </c>
      <c r="L213" s="71">
        <f>IF(Table1[[#This Row],[Column8]]=1,J213*K213,"")</f>
        <v>0</v>
      </c>
      <c r="M213" s="72" t="str">
        <f>VLOOKUP($B213,'Standards Crosswalk'!$A:$H,3,FALSE)</f>
        <v>CSC 4</v>
      </c>
      <c r="N213" s="72">
        <f>VLOOKUP($B213,'Standards Crosswalk'!$A:$H,4,FALSE)</f>
        <v>0</v>
      </c>
      <c r="O213" s="72">
        <f>VLOOKUP($B213,'Standards Crosswalk'!$A:$H,5,FALSE)</f>
        <v>0</v>
      </c>
      <c r="P213" s="72" t="str">
        <f>VLOOKUP($B213,'Standards Crosswalk'!$A:$H,6,FALSE)</f>
        <v>DE.CM-8</v>
      </c>
      <c r="Q213" s="72" t="str">
        <f>VLOOKUP($B213,'Standards Crosswalk'!$A:$H,7,FALSE)</f>
        <v>3.11.1, 3.11.2, 3.11.3</v>
      </c>
      <c r="R213" s="72" t="str">
        <f>VLOOKUP($B213,'Standards Crosswalk'!$A:$H,8,FALSE)</f>
        <v>SI-2</v>
      </c>
      <c r="S213" s="72">
        <f>VLOOKUP($B213,'Standards Crosswalk'!$A:$I,9,FALSE)</f>
        <v>11.2</v>
      </c>
    </row>
    <row r="214" spans="1:19" ht="46" thickBot="1" x14ac:dyDescent="0.2">
      <c r="A214" s="71">
        <f t="shared" si="6"/>
        <v>212</v>
      </c>
      <c r="B214" s="77" t="s">
        <v>377</v>
      </c>
      <c r="C214" s="78" t="str">
        <f>VLOOKUP(B214,'HECVAT - Full'!A:E,2,FALSE)</f>
        <v>Have your systems had an external vulnerability assessment in the last year?</v>
      </c>
      <c r="D214" s="71">
        <f>VLOOKUP(B214,'HECVAT - Full'!A:E,4,FALSE)</f>
        <v>0</v>
      </c>
      <c r="E214" s="79" t="b">
        <f>IF(Table1[[#This Row],[Column11]]&gt;20,TRUE,FALSE)</f>
        <v>1</v>
      </c>
      <c r="F214" s="79" t="s">
        <v>2043</v>
      </c>
      <c r="G214" s="80" t="s">
        <v>16</v>
      </c>
      <c r="H214" s="81">
        <v>1</v>
      </c>
      <c r="I214" s="71" t="str">
        <f>VLOOKUP(B214,'HECVAT - Full'!A:E,3,FALSE)</f>
        <v>No</v>
      </c>
      <c r="J214" s="71">
        <f>IF(Table1[[#This Row],[Column7]]=Table1[[#This Row],[Column9]],1,0)</f>
        <v>0</v>
      </c>
      <c r="K214" s="71">
        <f>IF(Table1[[#This Row],[Column8]]=1,25,"")</f>
        <v>25</v>
      </c>
      <c r="L214" s="71">
        <f>IF(Table1[[#This Row],[Column8]]=1,J214*K214,"")</f>
        <v>0</v>
      </c>
      <c r="M214" s="72" t="str">
        <f>VLOOKUP($B214,'Standards Crosswalk'!$A:$H,3,FALSE)</f>
        <v>CSC 4</v>
      </c>
      <c r="N214" s="72">
        <f>VLOOKUP($B214,'Standards Crosswalk'!$A:$H,4,FALSE)</f>
        <v>0</v>
      </c>
      <c r="O214" s="72">
        <f>VLOOKUP($B214,'Standards Crosswalk'!$A:$H,5,FALSE)</f>
        <v>0</v>
      </c>
      <c r="P214" s="72" t="str">
        <f>VLOOKUP($B214,'Standards Crosswalk'!$A:$H,6,FALSE)</f>
        <v>DE.CM-8</v>
      </c>
      <c r="Q214" s="72">
        <f>VLOOKUP($B214,'Standards Crosswalk'!$A:$H,7,FALSE)</f>
        <v>0</v>
      </c>
      <c r="R214" s="72" t="str">
        <f>VLOOKUP($B214,'Standards Crosswalk'!$A:$H,8,FALSE)</f>
        <v>SI-2</v>
      </c>
      <c r="S214" s="72">
        <f>VLOOKUP($B214,'Standards Crosswalk'!$A:$I,9,FALSE)</f>
        <v>11.2</v>
      </c>
    </row>
    <row r="215" spans="1:19" ht="329" thickBot="1" x14ac:dyDescent="0.2">
      <c r="A215" s="71">
        <f t="shared" si="6"/>
        <v>213</v>
      </c>
      <c r="B215" s="77" t="s">
        <v>378</v>
      </c>
      <c r="C215" s="78" t="str">
        <f>VLOOKUP(B215,'HECVAT - Full'!A:E,2,FALSE)</f>
        <v>Describe or provide a reference to the tool(s) used to scan for vulnerabilities in your applications and systems.</v>
      </c>
      <c r="D215" s="71">
        <f>VLOOKUP(B215,'HECVAT - Full'!A:E,4,FALSE)</f>
        <v>0</v>
      </c>
      <c r="E215" s="79" t="b">
        <f>IF(Table1[[#This Row],[Column11]]&gt;20,TRUE,FALSE)</f>
        <v>0</v>
      </c>
      <c r="F215" s="79" t="s">
        <v>2043</v>
      </c>
      <c r="G215" s="80" t="s">
        <v>16</v>
      </c>
      <c r="H215" s="81">
        <v>1</v>
      </c>
      <c r="I215" s="71" t="str">
        <f>VLOOKUP(B215,'HECVAT - Full'!A:E,3,FALSE)</f>
        <v xml:space="preserve">We plan to implement external vulnerability scanning by end of Q2 2021 </v>
      </c>
      <c r="J215" s="71">
        <f>IF(VLOOKUP(Table1[[#This Row],[Column2]],'Analyst Report'!$A$41:$G$88,7,FALSE)="Yes",1,0)</f>
        <v>0</v>
      </c>
      <c r="K215" s="71">
        <f>IF(Table1[[#This Row],[Column8]]=1,15,"")</f>
        <v>15</v>
      </c>
      <c r="L215" s="71">
        <f>IF(Table1[[#This Row],[Column8]]=1,J215*K215,"")</f>
        <v>0</v>
      </c>
      <c r="M215" s="72" t="str">
        <f>VLOOKUP($B215,'Standards Crosswalk'!$A:$H,3,FALSE)</f>
        <v>CSC 4</v>
      </c>
      <c r="N215" s="72">
        <f>VLOOKUP($B215,'Standards Crosswalk'!$A:$H,4,FALSE)</f>
        <v>0</v>
      </c>
      <c r="O215" s="72">
        <f>VLOOKUP($B215,'Standards Crosswalk'!$A:$H,5,FALSE)</f>
        <v>0</v>
      </c>
      <c r="P215" s="72" t="str">
        <f>VLOOKUP($B215,'Standards Crosswalk'!$A:$H,6,FALSE)</f>
        <v>DE.CM-8</v>
      </c>
      <c r="Q215" s="72" t="str">
        <f>VLOOKUP($B215,'Standards Crosswalk'!$A:$H,7,FALSE)</f>
        <v>3.11.1, 3.11.2, 3.11.3</v>
      </c>
      <c r="R215" s="72" t="str">
        <f>VLOOKUP($B215,'Standards Crosswalk'!$A:$H,8,FALSE)</f>
        <v>SI-2</v>
      </c>
      <c r="S215" s="72">
        <f>VLOOKUP($B215,'Standards Crosswalk'!$A:$I,9,FALSE)</f>
        <v>11.2</v>
      </c>
    </row>
    <row r="216" spans="1:19" ht="271" thickBot="1" x14ac:dyDescent="0.2">
      <c r="A216" s="71">
        <f t="shared" si="6"/>
        <v>214</v>
      </c>
      <c r="B216" s="77" t="s">
        <v>379</v>
      </c>
      <c r="C216" s="78" t="str">
        <f>VLOOKUP(B216,'HECVAT - Full'!A:E,2,FALSE)</f>
        <v>Will you provide results of security scans to the Institution?</v>
      </c>
      <c r="D216" s="71" t="str">
        <f>VLOOKUP(B216,'HECVAT - Full'!A:E,4,FALSE)</f>
        <v>Once we have completed security scans, the results will be available upon request from the institution.</v>
      </c>
      <c r="E216" s="79" t="b">
        <f>IF(Table1[[#This Row],[Column11]]&gt;20,TRUE,FALSE)</f>
        <v>0</v>
      </c>
      <c r="F216" s="79" t="s">
        <v>2043</v>
      </c>
      <c r="G216" s="80" t="s">
        <v>16</v>
      </c>
      <c r="H216" s="81">
        <v>1</v>
      </c>
      <c r="I216" s="71" t="str">
        <f>VLOOKUP(B216,'HECVAT - Full'!A:E,3,FALSE)</f>
        <v>Yes</v>
      </c>
      <c r="J216" s="71">
        <f>IF(Table1[[#This Row],[Column7]]=Table1[[#This Row],[Column9]],1,0)</f>
        <v>1</v>
      </c>
      <c r="K216" s="71">
        <f>IF(Table1[[#This Row],[Column8]]=1,15,"")</f>
        <v>15</v>
      </c>
      <c r="L216" s="71">
        <f>IF(Table1[[#This Row],[Column8]]=1,J216*K216,"")</f>
        <v>15</v>
      </c>
      <c r="M216" s="72" t="str">
        <f>VLOOKUP($B216,'Standards Crosswalk'!$A:$H,3,FALSE)</f>
        <v>CSC 4</v>
      </c>
      <c r="N216" s="72">
        <f>VLOOKUP($B216,'Standards Crosswalk'!$A:$H,4,FALSE)</f>
        <v>0</v>
      </c>
      <c r="O216" s="72">
        <f>VLOOKUP($B216,'Standards Crosswalk'!$A:$H,5,FALSE)</f>
        <v>0</v>
      </c>
      <c r="P216" s="72" t="str">
        <f>VLOOKUP($B216,'Standards Crosswalk'!$A:$H,6,FALSE)</f>
        <v>DE.CM-8</v>
      </c>
      <c r="Q216" s="72">
        <f>VLOOKUP($B216,'Standards Crosswalk'!$A:$H,7,FALSE)</f>
        <v>0</v>
      </c>
      <c r="R216" s="72" t="str">
        <f>VLOOKUP($B216,'Standards Crosswalk'!$A:$H,8,FALSE)</f>
        <v>SI-2</v>
      </c>
      <c r="S216" s="72">
        <f>VLOOKUP($B216,'Standards Crosswalk'!$A:$I,9,FALSE)</f>
        <v>11.2</v>
      </c>
    </row>
    <row r="217" spans="1:19" ht="409.6" thickBot="1" x14ac:dyDescent="0.2">
      <c r="A217" s="71">
        <f t="shared" si="6"/>
        <v>215</v>
      </c>
      <c r="B217" s="77" t="s">
        <v>380</v>
      </c>
      <c r="C217" s="78" t="str">
        <f>VLOOKUP(B217,'HECVAT - Full'!A:E,2,FALSE)</f>
        <v>Describe or provide a reference to how you monitor for and protect against common web application security vulnerabilities (e.g. SQL injection, XSS, XSRF, etc.).</v>
      </c>
      <c r="D217" s="71">
        <f>VLOOKUP(B217,'HECVAT - Full'!A:E,4,FALSE)</f>
        <v>0</v>
      </c>
      <c r="E217" s="79" t="b">
        <f>IF(Table1[[#This Row],[Column11]]&gt;20,TRUE,FALSE)</f>
        <v>0</v>
      </c>
      <c r="F217" s="79" t="s">
        <v>2043</v>
      </c>
      <c r="G217" s="80" t="s">
        <v>16</v>
      </c>
      <c r="H217" s="81">
        <v>1</v>
      </c>
      <c r="I217" s="71" t="str">
        <f>VLOOKUP(B217,'HECVAT - Full'!A:E,3,FALSE)</f>
        <v>Our developers follow a security-by-design paradigm, and all code is reviewed by another engineer prior to release. We are also working to implement static code analysis and vulnerability scanning to add an additional layer of protection.</v>
      </c>
      <c r="J217" s="71">
        <f>IF(VLOOKUP(Table1[[#This Row],[Column2]],'Analyst Report'!$A$41:$G$88,7,FALSE)="Yes",1,0)</f>
        <v>0</v>
      </c>
      <c r="K217" s="71">
        <f>IF(Table1[[#This Row],[Column8]]=1,20,"")</f>
        <v>20</v>
      </c>
      <c r="L217" s="71">
        <f>IF(Table1[[#This Row],[Column8]]=1,J217*K217,"")</f>
        <v>0</v>
      </c>
      <c r="M217" s="72" t="str">
        <f>VLOOKUP($B217,'Standards Crosswalk'!$A:$H,3,FALSE)</f>
        <v>CSC 7, CSC 18</v>
      </c>
      <c r="N217" s="72">
        <f>VLOOKUP($B217,'Standards Crosswalk'!$A:$H,4,FALSE)</f>
        <v>0</v>
      </c>
      <c r="O217" s="72" t="str">
        <f>VLOOKUP($B217,'Standards Crosswalk'!$A:$H,5,FALSE)</f>
        <v>12.6.1</v>
      </c>
      <c r="P217" s="72" t="str">
        <f>VLOOKUP($B217,'Standards Crosswalk'!$A:$H,6,FALSE)</f>
        <v>ID.RA-1, DE.CM-8, PR.IP-12</v>
      </c>
      <c r="Q217" s="72" t="str">
        <f>VLOOKUP($B217,'Standards Crosswalk'!$A:$H,7,FALSE)</f>
        <v>3.11.1, 3.11.2, 3.11.3, 3.14.2</v>
      </c>
      <c r="R217" s="72" t="str">
        <f>VLOOKUP($B217,'Standards Crosswalk'!$A:$H,8,FALSE)</f>
        <v>SI-2</v>
      </c>
      <c r="S217" s="72" t="str">
        <f>VLOOKUP($B217,'Standards Crosswalk'!$A:$I,9,FALSE)</f>
        <v>11.2, 11.3</v>
      </c>
    </row>
    <row r="218" spans="1:19" ht="136" thickBot="1" x14ac:dyDescent="0.2">
      <c r="A218" s="71">
        <f t="shared" si="6"/>
        <v>216</v>
      </c>
      <c r="B218" s="77" t="s">
        <v>381</v>
      </c>
      <c r="C218" s="78" t="str">
        <f>VLOOKUP(B218,'HECVAT - Full'!A:E,2,FALSE)</f>
        <v>Will you allow the institution to perform its own security testing of your systems and/or application provided that testing is performed at a mutually agreed upon time and date?</v>
      </c>
      <c r="D218" s="71" t="str">
        <f>VLOOKUP(B218,'HECVAT - Full'!A:E,4,FALSE)</f>
        <v>Please coordinate with the Customer Success team.</v>
      </c>
      <c r="E218" s="79" t="b">
        <f>IF(Table1[[#This Row],[Column11]]&gt;20,TRUE,FALSE)</f>
        <v>1</v>
      </c>
      <c r="F218" s="79" t="s">
        <v>2043</v>
      </c>
      <c r="G218" s="80" t="s">
        <v>16</v>
      </c>
      <c r="H218" s="81">
        <v>1</v>
      </c>
      <c r="I218" s="71" t="str">
        <f>VLOOKUP(B218,'HECVAT - Full'!A:E,3,FALSE)</f>
        <v>Yes</v>
      </c>
      <c r="J218" s="71">
        <f>IF(Table1[[#This Row],[Column7]]=Table1[[#This Row],[Column9]],1,0)</f>
        <v>1</v>
      </c>
      <c r="K218" s="71">
        <f>IF(Table1[[#This Row],[Column8]]=1,25,"")</f>
        <v>25</v>
      </c>
      <c r="L218" s="71">
        <f>IF(Table1[[#This Row],[Column8]]=1,J218*K218,"")</f>
        <v>25</v>
      </c>
      <c r="M218" s="72" t="str">
        <f>VLOOKUP($B218,'Standards Crosswalk'!$A:$H,3,FALSE)</f>
        <v>CSC 20</v>
      </c>
      <c r="N218" s="72">
        <f>VLOOKUP($B218,'Standards Crosswalk'!$A:$H,4,FALSE)</f>
        <v>0</v>
      </c>
      <c r="O218" s="72" t="str">
        <f>VLOOKUP($B218,'Standards Crosswalk'!$A:$H,5,FALSE)</f>
        <v>18.2.1</v>
      </c>
      <c r="P218" s="72" t="str">
        <f>VLOOKUP($B218,'Standards Crosswalk'!$A:$H,6,FALSE)</f>
        <v>DE.CM-8</v>
      </c>
      <c r="Q218" s="72" t="str">
        <f>VLOOKUP($B218,'Standards Crosswalk'!$A:$H,7,FALSE)</f>
        <v>3.11.1, 3.11.2, 3.11.3</v>
      </c>
      <c r="R218" s="72" t="str">
        <f>VLOOKUP($B218,'Standards Crosswalk'!$A:$H,8,FALSE)</f>
        <v>SI-2</v>
      </c>
      <c r="S218" s="72" t="str">
        <f>VLOOKUP($B218,'Standards Crosswalk'!$A:$I,9,FALSE)</f>
        <v>11.2, 12.8</v>
      </c>
    </row>
    <row r="219" spans="1:19" ht="61" thickBot="1" x14ac:dyDescent="0.2">
      <c r="A219" s="71">
        <f t="shared" si="6"/>
        <v>217</v>
      </c>
      <c r="B219" s="77" t="s">
        <v>382</v>
      </c>
      <c r="C219" s="78" t="str">
        <f>VLOOKUP(B219,'HECVAT - Full'!A:E,2,FALSE)</f>
        <v>Do your workforce members receive regular training related to the HIPAA Privacy and Security Rules and the HITECH Act?</v>
      </c>
      <c r="D219" s="71">
        <f>VLOOKUP(B219,'HECVAT - Full'!A:E,4,FALSE)</f>
        <v>0</v>
      </c>
      <c r="E219" s="79" t="b">
        <f>IF(Table1[[#This Row],[Column11]]&gt;20,TRUE,FALSE)</f>
        <v>0</v>
      </c>
      <c r="F219" s="79" t="s">
        <v>561</v>
      </c>
      <c r="G219" s="80" t="s">
        <v>16</v>
      </c>
      <c r="H219" s="81">
        <v>1</v>
      </c>
      <c r="I219" s="71">
        <f>VLOOKUP(B219,'HECVAT - Full'!A:E,3,FALSE)</f>
        <v>0</v>
      </c>
      <c r="J219" s="71">
        <f>IF(Table1[[#This Row],[Column7]]=Table1[[#This Row],[Column9]],1,0)</f>
        <v>0</v>
      </c>
      <c r="K219" s="71">
        <f>IF(Table1[[#This Row],[Column8]]=1,20,"")</f>
        <v>20</v>
      </c>
      <c r="L219" s="71">
        <f>IF(Table1[[#This Row],[Column8]]=1,J219*K219,"")</f>
        <v>0</v>
      </c>
      <c r="M219" s="72" t="str">
        <f>VLOOKUP($B219,'Standards Crosswalk'!$A:$H,3,FALSE)</f>
        <v>CSC 17</v>
      </c>
      <c r="N219" s="72" t="str">
        <f>VLOOKUP($B219,'Standards Crosswalk'!$A:$H,4,FALSE)</f>
        <v>§164.308(a)(5)(i)</v>
      </c>
      <c r="O219" s="72" t="str">
        <f>VLOOKUP($B219,'Standards Crosswalk'!$A:$H,5,FALSE)</f>
        <v>18.1.1, 7.2.2</v>
      </c>
      <c r="P219" s="72" t="str">
        <f>VLOOKUP($B219,'Standards Crosswalk'!$A:$H,6,FALSE)</f>
        <v>ID.GV-3</v>
      </c>
      <c r="Q219" s="72" t="str">
        <f>VLOOKUP($B219,'Standards Crosswalk'!$A:$H,7,FALSE)</f>
        <v>3.2.2</v>
      </c>
      <c r="R219" s="72" t="str">
        <f>VLOOKUP($B219,'Standards Crosswalk'!$A:$H,8,FALSE)</f>
        <v>AT-3</v>
      </c>
      <c r="S219" s="72">
        <f>VLOOKUP($B219,'Standards Crosswalk'!$A:$I,9,FALSE)</f>
        <v>0</v>
      </c>
    </row>
    <row r="220" spans="1:19" ht="46" thickBot="1" x14ac:dyDescent="0.2">
      <c r="A220" s="71">
        <f t="shared" si="6"/>
        <v>218</v>
      </c>
      <c r="B220" s="77" t="s">
        <v>383</v>
      </c>
      <c r="C220" s="78" t="str">
        <f>VLOOKUP(B220,'HECVAT - Full'!A:E,2,FALSE)</f>
        <v>Do you monitor or receive information regarding changes in HIPAA regulations?</v>
      </c>
      <c r="D220" s="71">
        <f>VLOOKUP(B220,'HECVAT - Full'!A:E,4,FALSE)</f>
        <v>0</v>
      </c>
      <c r="E220" s="79" t="b">
        <f>IF(Table1[[#This Row],[Column11]]&gt;20,TRUE,FALSE)</f>
        <v>0</v>
      </c>
      <c r="F220" s="79" t="s">
        <v>561</v>
      </c>
      <c r="G220" s="80" t="s">
        <v>16</v>
      </c>
      <c r="H220" s="81">
        <v>1</v>
      </c>
      <c r="I220" s="71">
        <f>VLOOKUP(B220,'HECVAT - Full'!A:E,3,FALSE)</f>
        <v>0</v>
      </c>
      <c r="J220" s="71">
        <f>IF(Table1[[#This Row],[Column7]]=Table1[[#This Row],[Column9]],1,0)</f>
        <v>0</v>
      </c>
      <c r="K220" s="71">
        <f>IF(Table1[[#This Row],[Column8]]=1,20,"")</f>
        <v>20</v>
      </c>
      <c r="L220" s="71">
        <f>IF(Table1[[#This Row],[Column8]]=1,J220*K220,"")</f>
        <v>0</v>
      </c>
      <c r="M220" s="72" t="str">
        <f>VLOOKUP($B220,'Standards Crosswalk'!$A:$H,3,FALSE)</f>
        <v>CSC 13</v>
      </c>
      <c r="N220" s="72" t="str">
        <f>VLOOKUP($B220,'Standards Crosswalk'!$A:$H,4,FALSE)</f>
        <v>§164.316(b)(2)(iii)</v>
      </c>
      <c r="O220" s="72" t="str">
        <f>VLOOKUP($B220,'Standards Crosswalk'!$A:$H,5,FALSE)</f>
        <v>18.1.1</v>
      </c>
      <c r="P220" s="72" t="str">
        <f>VLOOKUP($B220,'Standards Crosswalk'!$A:$H,6,FALSE)</f>
        <v>ID.GV-3</v>
      </c>
      <c r="Q220" s="72">
        <f>VLOOKUP($B220,'Standards Crosswalk'!$A:$H,7,FALSE)</f>
        <v>0</v>
      </c>
      <c r="R220" s="72">
        <f>VLOOKUP($B220,'Standards Crosswalk'!$A:$H,8,FALSE)</f>
        <v>0</v>
      </c>
      <c r="S220" s="72">
        <f>VLOOKUP($B220,'Standards Crosswalk'!$A:$I,9,FALSE)</f>
        <v>0</v>
      </c>
    </row>
    <row r="221" spans="1:19" ht="46" thickBot="1" x14ac:dyDescent="0.2">
      <c r="A221" s="71">
        <f t="shared" si="6"/>
        <v>219</v>
      </c>
      <c r="B221" s="77" t="s">
        <v>384</v>
      </c>
      <c r="C221" s="78" t="str">
        <f>VLOOKUP(B221,'HECVAT - Full'!A:E,2,FALSE)</f>
        <v>Has your organization designated HIPAA Privacy and Security officers as required by the Rules?</v>
      </c>
      <c r="D221" s="71">
        <f>VLOOKUP(B221,'HECVAT - Full'!A:E,4,FALSE)</f>
        <v>0</v>
      </c>
      <c r="E221" s="79" t="b">
        <f>IF(Table1[[#This Row],[Column11]]&gt;20,TRUE,FALSE)</f>
        <v>1</v>
      </c>
      <c r="F221" s="79" t="s">
        <v>561</v>
      </c>
      <c r="G221" s="80" t="s">
        <v>16</v>
      </c>
      <c r="H221" s="81">
        <v>1</v>
      </c>
      <c r="I221" s="71">
        <f>VLOOKUP(B221,'HECVAT - Full'!A:E,3,FALSE)</f>
        <v>0</v>
      </c>
      <c r="J221" s="71">
        <f>IF(Table1[[#This Row],[Column7]]=Table1[[#This Row],[Column9]],1,0)</f>
        <v>0</v>
      </c>
      <c r="K221" s="71">
        <f>IF(Table1[[#This Row],[Column8]]=1,25,"")</f>
        <v>25</v>
      </c>
      <c r="L221" s="71">
        <f>IF(Table1[[#This Row],[Column8]]=1,J221*K221,"")</f>
        <v>0</v>
      </c>
      <c r="M221" s="72" t="str">
        <f>VLOOKUP($B221,'Standards Crosswalk'!$A:$H,3,FALSE)</f>
        <v>CSC 17</v>
      </c>
      <c r="N221" s="72" t="str">
        <f>VLOOKUP($B221,'Standards Crosswalk'!$A:$H,4,FALSE)</f>
        <v>§164.308(a)(2)</v>
      </c>
      <c r="O221" s="72" t="str">
        <f>VLOOKUP($B221,'Standards Crosswalk'!$A:$H,5,FALSE)</f>
        <v>18.1.1</v>
      </c>
      <c r="P221" s="72" t="str">
        <f>VLOOKUP($B221,'Standards Crosswalk'!$A:$H,6,FALSE)</f>
        <v>ID.GV-3</v>
      </c>
      <c r="Q221" s="72">
        <f>VLOOKUP($B221,'Standards Crosswalk'!$A:$H,7,FALSE)</f>
        <v>0</v>
      </c>
      <c r="R221" s="72">
        <f>VLOOKUP($B221,'Standards Crosswalk'!$A:$H,8,FALSE)</f>
        <v>0</v>
      </c>
      <c r="S221" s="72">
        <f>VLOOKUP($B221,'Standards Crosswalk'!$A:$I,9,FALSE)</f>
        <v>0</v>
      </c>
    </row>
    <row r="222" spans="1:19" ht="61" thickBot="1" x14ac:dyDescent="0.2">
      <c r="A222" s="71">
        <f t="shared" si="6"/>
        <v>220</v>
      </c>
      <c r="B222" s="77" t="s">
        <v>385</v>
      </c>
      <c r="C222" s="78" t="str">
        <f>VLOOKUP(B222,'HECVAT - Full'!A:E,2,FALSE)</f>
        <v>Do you comply with the requirements of the Health Information Technology for Economic and Clinical Health Act (HITECH)?</v>
      </c>
      <c r="D222" s="71">
        <f>VLOOKUP(B222,'HECVAT - Full'!A:E,4,FALSE)</f>
        <v>0</v>
      </c>
      <c r="E222" s="79" t="b">
        <f>IF(Table1[[#This Row],[Column11]]&gt;20,TRUE,FALSE)</f>
        <v>1</v>
      </c>
      <c r="F222" s="79" t="s">
        <v>561</v>
      </c>
      <c r="G222" s="80" t="s">
        <v>16</v>
      </c>
      <c r="H222" s="81">
        <v>1</v>
      </c>
      <c r="I222" s="71">
        <f>VLOOKUP(B222,'HECVAT - Full'!A:E,3,FALSE)</f>
        <v>0</v>
      </c>
      <c r="J222" s="71">
        <f>IF(Table1[[#This Row],[Column7]]=Table1[[#This Row],[Column9]],1,0)</f>
        <v>0</v>
      </c>
      <c r="K222" s="71">
        <f>IF(Table1[[#This Row],[Column8]]=1,25,"")</f>
        <v>25</v>
      </c>
      <c r="L222" s="71">
        <f>IF(Table1[[#This Row],[Column8]]=1,J222*K222,"")</f>
        <v>0</v>
      </c>
      <c r="M222" s="72" t="str">
        <f>VLOOKUP($B222,'Standards Crosswalk'!$A:$H,3,FALSE)</f>
        <v>CSC 13</v>
      </c>
      <c r="N222" s="72">
        <f>VLOOKUP($B222,'Standards Crosswalk'!$A:$H,4,FALSE)</f>
        <v>0</v>
      </c>
      <c r="O222" s="72" t="str">
        <f>VLOOKUP($B222,'Standards Crosswalk'!$A:$H,5,FALSE)</f>
        <v>18.1.1</v>
      </c>
      <c r="P222" s="72" t="str">
        <f>VLOOKUP($B222,'Standards Crosswalk'!$A:$H,6,FALSE)</f>
        <v>ID.GV-3</v>
      </c>
      <c r="Q222" s="72">
        <f>VLOOKUP($B222,'Standards Crosswalk'!$A:$H,7,FALSE)</f>
        <v>0</v>
      </c>
      <c r="R222" s="72">
        <f>VLOOKUP($B222,'Standards Crosswalk'!$A:$H,8,FALSE)</f>
        <v>0</v>
      </c>
      <c r="S222" s="72">
        <f>VLOOKUP($B222,'Standards Crosswalk'!$A:$I,9,FALSE)</f>
        <v>0</v>
      </c>
    </row>
    <row r="223" spans="1:19" ht="61" thickBot="1" x14ac:dyDescent="0.2">
      <c r="A223" s="71">
        <f t="shared" si="6"/>
        <v>221</v>
      </c>
      <c r="B223" s="77" t="s">
        <v>386</v>
      </c>
      <c r="C223" s="78" t="str">
        <f>VLOOKUP(B223,'HECVAT - Full'!A:E,2,FALSE)</f>
        <v>Do you have an incident response process and reporting in place to investigate any potential incidents and report actual incidents?</v>
      </c>
      <c r="D223" s="71">
        <f>VLOOKUP(B223,'HECVAT - Full'!A:E,4,FALSE)</f>
        <v>0</v>
      </c>
      <c r="E223" s="79" t="b">
        <f>IF(Table1[[#This Row],[Column11]]&gt;20,TRUE,FALSE)</f>
        <v>0</v>
      </c>
      <c r="F223" s="79" t="s">
        <v>561</v>
      </c>
      <c r="G223" s="80" t="s">
        <v>16</v>
      </c>
      <c r="H223" s="81">
        <v>1</v>
      </c>
      <c r="I223" s="71">
        <f>VLOOKUP(B223,'HECVAT - Full'!A:E,3,FALSE)</f>
        <v>0</v>
      </c>
      <c r="J223" s="71">
        <f>IF(Table1[[#This Row],[Column7]]=Table1[[#This Row],[Column9]],1,0)</f>
        <v>0</v>
      </c>
      <c r="K223" s="71">
        <f>IF(Table1[[#This Row],[Column8]]=1,20,"")</f>
        <v>20</v>
      </c>
      <c r="L223" s="71">
        <f>IF(Table1[[#This Row],[Column8]]=1,J223*K223,"")</f>
        <v>0</v>
      </c>
      <c r="M223" s="72" t="str">
        <f>VLOOKUP($B223,'Standards Crosswalk'!$A:$H,3,FALSE)</f>
        <v>CSC 19</v>
      </c>
      <c r="N223" s="72" t="str">
        <f>VLOOKUP($B223,'Standards Crosswalk'!$A:$H,4,FALSE)</f>
        <v>§164.308(a)(6)(i)</v>
      </c>
      <c r="O223" s="72" t="str">
        <f>VLOOKUP($B223,'Standards Crosswalk'!$A:$H,5,FALSE)</f>
        <v>16.1.1</v>
      </c>
      <c r="P223" s="72" t="str">
        <f>VLOOKUP($B223,'Standards Crosswalk'!$A:$H,6,FALSE)</f>
        <v>ID.GV-3</v>
      </c>
      <c r="Q223" s="72" t="str">
        <f>VLOOKUP($B223,'Standards Crosswalk'!$A:$H,7,FALSE)</f>
        <v>3.6.1, 3.14.1</v>
      </c>
      <c r="R223" s="72" t="str">
        <f>VLOOKUP($B223,'Standards Crosswalk'!$A:$H,8,FALSE)</f>
        <v>IR-2, IR-4, IR-5, IR-7</v>
      </c>
      <c r="S223" s="72" t="str">
        <f>VLOOKUP($B223,'Standards Crosswalk'!$A:$I,9,FALSE)</f>
        <v>12.10, 10.10</v>
      </c>
    </row>
    <row r="224" spans="1:19" ht="46" thickBot="1" x14ac:dyDescent="0.2">
      <c r="A224" s="71">
        <f t="shared" si="6"/>
        <v>222</v>
      </c>
      <c r="B224" s="77" t="s">
        <v>387</v>
      </c>
      <c r="C224" s="78" t="str">
        <f>VLOOKUP(B224,'HECVAT - Full'!A:E,2,FALSE)</f>
        <v>Do you have a plan to comply with the Breach Notification requirements if there is a breach of data?</v>
      </c>
      <c r="D224" s="71">
        <f>VLOOKUP(B224,'HECVAT - Full'!A:E,4,FALSE)</f>
        <v>0</v>
      </c>
      <c r="E224" s="79" t="b">
        <f>IF(Table1[[#This Row],[Column11]]&gt;20,TRUE,FALSE)</f>
        <v>1</v>
      </c>
      <c r="F224" s="79" t="s">
        <v>561</v>
      </c>
      <c r="G224" s="80" t="s">
        <v>16</v>
      </c>
      <c r="H224" s="81">
        <v>1</v>
      </c>
      <c r="I224" s="71">
        <f>VLOOKUP(B224,'HECVAT - Full'!A:E,3,FALSE)</f>
        <v>0</v>
      </c>
      <c r="J224" s="71">
        <f>IF(Table1[[#This Row],[Column7]]=Table1[[#This Row],[Column9]],1,0)</f>
        <v>0</v>
      </c>
      <c r="K224" s="71">
        <f>IF(Table1[[#This Row],[Column8]]=1,25,"")</f>
        <v>25</v>
      </c>
      <c r="L224" s="71">
        <f>IF(Table1[[#This Row],[Column8]]=1,J224*K224,"")</f>
        <v>0</v>
      </c>
      <c r="M224" s="72" t="str">
        <f>VLOOKUP($B224,'Standards Crosswalk'!$A:$H,3,FALSE)</f>
        <v>CSC 19</v>
      </c>
      <c r="N224" s="72" t="str">
        <f>VLOOKUP($B224,'Standards Crosswalk'!$A:$H,4,FALSE)</f>
        <v>§164.308(a)(6)(ii)</v>
      </c>
      <c r="O224" s="72" t="str">
        <f>VLOOKUP($B224,'Standards Crosswalk'!$A:$H,5,FALSE)</f>
        <v>16.1.2, 16.1.5, 18.1.1</v>
      </c>
      <c r="P224" s="72" t="str">
        <f>VLOOKUP($B224,'Standards Crosswalk'!$A:$H,6,FALSE)</f>
        <v>ID.GV-3</v>
      </c>
      <c r="Q224" s="72" t="str">
        <f>VLOOKUP($B224,'Standards Crosswalk'!$A:$H,7,FALSE)</f>
        <v>3.6.2, 3.12.2</v>
      </c>
      <c r="R224" s="72" t="str">
        <f>VLOOKUP($B224,'Standards Crosswalk'!$A:$H,8,FALSE)</f>
        <v>IR-6</v>
      </c>
      <c r="S224" s="72">
        <f>VLOOKUP($B224,'Standards Crosswalk'!$A:$I,9,FALSE)</f>
        <v>12.8</v>
      </c>
    </row>
    <row r="225" spans="1:19" ht="31" thickBot="1" x14ac:dyDescent="0.2">
      <c r="A225" s="71">
        <f t="shared" si="6"/>
        <v>223</v>
      </c>
      <c r="B225" s="77" t="s">
        <v>388</v>
      </c>
      <c r="C225" s="78" t="str">
        <f>VLOOKUP(B225,'HECVAT - Full'!A:E,2,FALSE)</f>
        <v>Have you conducted a risk analysis as required under the Security Rule?</v>
      </c>
      <c r="D225" s="71">
        <f>VLOOKUP(B225,'HECVAT - Full'!A:E,4,FALSE)</f>
        <v>0</v>
      </c>
      <c r="E225" s="79" t="b">
        <f>IF(Table1[[#This Row],[Column11]]&gt;20,TRUE,FALSE)</f>
        <v>1</v>
      </c>
      <c r="F225" s="79" t="s">
        <v>561</v>
      </c>
      <c r="G225" s="80" t="s">
        <v>16</v>
      </c>
      <c r="H225" s="81">
        <v>1</v>
      </c>
      <c r="I225" s="71">
        <f>VLOOKUP(B225,'HECVAT - Full'!A:E,3,FALSE)</f>
        <v>0</v>
      </c>
      <c r="J225" s="71">
        <f>IF(Table1[[#This Row],[Column7]]=Table1[[#This Row],[Column9]],1,0)</f>
        <v>0</v>
      </c>
      <c r="K225" s="71">
        <f>IF(Table1[[#This Row],[Column8]]=1,25,"")</f>
        <v>25</v>
      </c>
      <c r="L225" s="71">
        <f>IF(Table1[[#This Row],[Column8]]=1,J225*K225,"")</f>
        <v>0</v>
      </c>
      <c r="M225" s="72" t="str">
        <f>VLOOKUP($B225,'Standards Crosswalk'!$A:$H,3,FALSE)</f>
        <v>CSC 13</v>
      </c>
      <c r="N225" s="72" t="str">
        <f>VLOOKUP($B225,'Standards Crosswalk'!$A:$H,4,FALSE)</f>
        <v>§164.308(a)(1)(i)</v>
      </c>
      <c r="O225" s="72">
        <f>VLOOKUP($B225,'Standards Crosswalk'!$A:$H,5,FALSE)</f>
        <v>0</v>
      </c>
      <c r="P225" s="72" t="str">
        <f>VLOOKUP($B225,'Standards Crosswalk'!$A:$H,6,FALSE)</f>
        <v>ID.GV-3</v>
      </c>
      <c r="Q225" s="72">
        <f>VLOOKUP($B225,'Standards Crosswalk'!$A:$H,7,FALSE)</f>
        <v>0</v>
      </c>
      <c r="R225" s="72">
        <f>VLOOKUP($B225,'Standards Crosswalk'!$A:$H,8,FALSE)</f>
        <v>0</v>
      </c>
      <c r="S225" s="72">
        <f>VLOOKUP($B225,'Standards Crosswalk'!$A:$I,9,FALSE)</f>
        <v>12.2</v>
      </c>
    </row>
    <row r="226" spans="1:19" ht="61" thickBot="1" x14ac:dyDescent="0.2">
      <c r="A226" s="71">
        <f t="shared" si="6"/>
        <v>224</v>
      </c>
      <c r="B226" s="77" t="s">
        <v>389</v>
      </c>
      <c r="C226" s="78" t="str">
        <f>VLOOKUP(B226,'HECVAT - Full'!A:E,2,FALSE)</f>
        <v>Have you identified areas of risks?</v>
      </c>
      <c r="D226" s="71">
        <f>VLOOKUP(B226,'HECVAT - Full'!A:E,4,FALSE)</f>
        <v>0</v>
      </c>
      <c r="E226" s="79" t="b">
        <f>IF(Table1[[#This Row],[Column11]]&gt;20,TRUE,FALSE)</f>
        <v>0</v>
      </c>
      <c r="F226" s="79" t="s">
        <v>561</v>
      </c>
      <c r="G226" s="80" t="s">
        <v>16</v>
      </c>
      <c r="H226" s="81">
        <v>1</v>
      </c>
      <c r="I226" s="71">
        <f>VLOOKUP(B226,'HECVAT - Full'!A:E,3,FALSE)</f>
        <v>0</v>
      </c>
      <c r="J226" s="71">
        <f>IF(Table1[[#This Row],[Column7]]=Table1[[#This Row],[Column9]],1,0)</f>
        <v>0</v>
      </c>
      <c r="K226" s="71">
        <f>IF(Table1[[#This Row],[Column8]]=1,20,"")</f>
        <v>20</v>
      </c>
      <c r="L226" s="71">
        <f>IF(Table1[[#This Row],[Column8]]=1,J226*K226,"")</f>
        <v>0</v>
      </c>
      <c r="M226" s="72" t="str">
        <f>VLOOKUP($B226,'Standards Crosswalk'!$A:$H,3,FALSE)</f>
        <v>CSC 4</v>
      </c>
      <c r="N226" s="72" t="str">
        <f>VLOOKUP($B226,'Standards Crosswalk'!$A:$H,4,FALSE)</f>
        <v>§164.308(a)(1)(i), §164.308(a)(1)(ii)(A)</v>
      </c>
      <c r="O226" s="72">
        <f>VLOOKUP($B226,'Standards Crosswalk'!$A:$H,5,FALSE)</f>
        <v>0</v>
      </c>
      <c r="P226" s="72" t="str">
        <f>VLOOKUP($B226,'Standards Crosswalk'!$A:$H,6,FALSE)</f>
        <v>ID.GV-3</v>
      </c>
      <c r="Q226" s="72">
        <f>VLOOKUP($B226,'Standards Crosswalk'!$A:$H,7,FALSE)</f>
        <v>0</v>
      </c>
      <c r="R226" s="72">
        <f>VLOOKUP($B226,'Standards Crosswalk'!$A:$H,8,FALSE)</f>
        <v>0</v>
      </c>
      <c r="S226" s="72">
        <f>VLOOKUP($B226,'Standards Crosswalk'!$A:$I,9,FALSE)</f>
        <v>12.2</v>
      </c>
    </row>
    <row r="227" spans="1:19" ht="31" thickBot="1" x14ac:dyDescent="0.2">
      <c r="A227" s="71">
        <f t="shared" si="6"/>
        <v>225</v>
      </c>
      <c r="B227" s="77" t="s">
        <v>390</v>
      </c>
      <c r="C227" s="78" t="str">
        <f>VLOOKUP(B227,'HECVAT - Full'!A:E,2,FALSE)</f>
        <v>Have you taken actions to mitigate the identified risks?</v>
      </c>
      <c r="D227" s="71">
        <f>VLOOKUP(B227,'HECVAT - Full'!A:E,4,FALSE)</f>
        <v>0</v>
      </c>
      <c r="E227" s="79" t="b">
        <f>IF(Table1[[#This Row],[Column11]]&gt;20,TRUE,FALSE)</f>
        <v>0</v>
      </c>
      <c r="F227" s="79" t="s">
        <v>561</v>
      </c>
      <c r="G227" s="80" t="s">
        <v>16</v>
      </c>
      <c r="H227" s="81">
        <v>1</v>
      </c>
      <c r="I227" s="71">
        <f>VLOOKUP(B227,'HECVAT - Full'!A:E,3,FALSE)</f>
        <v>0</v>
      </c>
      <c r="J227" s="71">
        <f>IF(Table1[[#This Row],[Column7]]=Table1[[#This Row],[Column9]],1,0)</f>
        <v>0</v>
      </c>
      <c r="K227" s="71">
        <f>IF(Table1[[#This Row],[Column8]]=1,20,"")</f>
        <v>20</v>
      </c>
      <c r="L227" s="71">
        <f>IF(Table1[[#This Row],[Column8]]=1,J227*K227,"")</f>
        <v>0</v>
      </c>
      <c r="M227" s="72" t="str">
        <f>VLOOKUP($B227,'Standards Crosswalk'!$A:$H,3,FALSE)</f>
        <v>CSC 4</v>
      </c>
      <c r="N227" s="72" t="str">
        <f>VLOOKUP($B227,'Standards Crosswalk'!$A:$H,4,FALSE)</f>
        <v>§164.308(a)(1)(ii)(B)</v>
      </c>
      <c r="O227" s="72">
        <f>VLOOKUP($B227,'Standards Crosswalk'!$A:$H,5,FALSE)</f>
        <v>0</v>
      </c>
      <c r="P227" s="72" t="str">
        <f>VLOOKUP($B227,'Standards Crosswalk'!$A:$H,6,FALSE)</f>
        <v>ID.GV-3</v>
      </c>
      <c r="Q227" s="72">
        <f>VLOOKUP($B227,'Standards Crosswalk'!$A:$H,7,FALSE)</f>
        <v>0</v>
      </c>
      <c r="R227" s="72">
        <f>VLOOKUP($B227,'Standards Crosswalk'!$A:$H,8,FALSE)</f>
        <v>0</v>
      </c>
      <c r="S227" s="72">
        <f>VLOOKUP($B227,'Standards Crosswalk'!$A:$I,9,FALSE)</f>
        <v>12.2</v>
      </c>
    </row>
    <row r="228" spans="1:19" ht="61" thickBot="1" x14ac:dyDescent="0.2">
      <c r="A228" s="71">
        <f t="shared" si="6"/>
        <v>226</v>
      </c>
      <c r="B228" s="77" t="s">
        <v>391</v>
      </c>
      <c r="C228" s="78" t="str">
        <f>VLOOKUP(B228,'HECVAT - Full'!A:E,2,FALSE)</f>
        <v>Does your application require user and system administrator password changes at a frequency no greater than 90 days?</v>
      </c>
      <c r="D228" s="71">
        <f>VLOOKUP(B228,'HECVAT - Full'!A:E,4,FALSE)</f>
        <v>0</v>
      </c>
      <c r="E228" s="79" t="b">
        <f>IF(Table1[[#This Row],[Column11]]&gt;20,TRUE,FALSE)</f>
        <v>0</v>
      </c>
      <c r="F228" s="79" t="s">
        <v>561</v>
      </c>
      <c r="G228" s="80" t="s">
        <v>16</v>
      </c>
      <c r="H228" s="81">
        <v>1</v>
      </c>
      <c r="I228" s="71">
        <f>VLOOKUP(B228,'HECVAT - Full'!A:E,3,FALSE)</f>
        <v>0</v>
      </c>
      <c r="J228" s="71">
        <f>IF(Table1[[#This Row],[Column7]]=Table1[[#This Row],[Column9]],1,0)</f>
        <v>0</v>
      </c>
      <c r="K228" s="71">
        <f>IF(Table1[[#This Row],[Column8]]=1,20,"")</f>
        <v>20</v>
      </c>
      <c r="L228" s="71">
        <f>IF(Table1[[#This Row],[Column8]]=1,J228*K228,"")</f>
        <v>0</v>
      </c>
      <c r="M228" s="72" t="str">
        <f>VLOOKUP($B228,'Standards Crosswalk'!$A:$H,3,FALSE)</f>
        <v>CSC 16</v>
      </c>
      <c r="N228" s="72" t="str">
        <f>VLOOKUP($B228,'Standards Crosswalk'!$A:$H,4,FALSE)</f>
        <v>§164.308(a)(5)(ii)(D)</v>
      </c>
      <c r="O228" s="72" t="str">
        <f>VLOOKUP($B228,'Standards Crosswalk'!$A:$H,5,FALSE)</f>
        <v>9.4.3</v>
      </c>
      <c r="P228" s="72" t="str">
        <f>VLOOKUP($B228,'Standards Crosswalk'!$A:$H,6,FALSE)</f>
        <v>ID.GV-3</v>
      </c>
      <c r="Q228" s="72" t="str">
        <f>VLOOKUP($B228,'Standards Crosswalk'!$A:$H,7,FALSE)</f>
        <v>3.5.6</v>
      </c>
      <c r="R228" s="72" t="str">
        <f>VLOOKUP($B228,'Standards Crosswalk'!$A:$H,8,FALSE)</f>
        <v>IA-4</v>
      </c>
      <c r="S228" s="72">
        <f>VLOOKUP($B228,'Standards Crosswalk'!$A:$I,9,FALSE)</f>
        <v>0</v>
      </c>
    </row>
    <row r="229" spans="1:19" ht="61" thickBot="1" x14ac:dyDescent="0.2">
      <c r="A229" s="71">
        <f t="shared" si="6"/>
        <v>227</v>
      </c>
      <c r="B229" s="77" t="s">
        <v>392</v>
      </c>
      <c r="C229" s="78" t="str">
        <f>VLOOKUP(B229,'HECVAT - Full'!A:E,2,FALSE)</f>
        <v>Does your application require a user to set their own password after an administrator reset or on first use of the account?</v>
      </c>
      <c r="D229" s="71">
        <f>VLOOKUP(B229,'HECVAT - Full'!A:E,4,FALSE)</f>
        <v>0</v>
      </c>
      <c r="E229" s="79" t="b">
        <f>IF(Table1[[#This Row],[Column11]]&gt;20,TRUE,FALSE)</f>
        <v>0</v>
      </c>
      <c r="F229" s="79" t="s">
        <v>561</v>
      </c>
      <c r="G229" s="80" t="s">
        <v>16</v>
      </c>
      <c r="H229" s="81">
        <v>1</v>
      </c>
      <c r="I229" s="71">
        <f>VLOOKUP(B229,'HECVAT - Full'!A:E,3,FALSE)</f>
        <v>0</v>
      </c>
      <c r="J229" s="71">
        <f>IF(Table1[[#This Row],[Column7]]=Table1[[#This Row],[Column9]],1,0)</f>
        <v>0</v>
      </c>
      <c r="K229" s="71">
        <f>IF(Table1[[#This Row],[Column8]]=1,20,"")</f>
        <v>20</v>
      </c>
      <c r="L229" s="71">
        <f>IF(Table1[[#This Row],[Column8]]=1,J229*K229,"")</f>
        <v>0</v>
      </c>
      <c r="M229" s="72" t="str">
        <f>VLOOKUP($B229,'Standards Crosswalk'!$A:$H,3,FALSE)</f>
        <v>CSC 16</v>
      </c>
      <c r="N229" s="72" t="str">
        <f>VLOOKUP($B229,'Standards Crosswalk'!$A:$H,4,FALSE)</f>
        <v>§164.308(a)(5)(ii)(D)</v>
      </c>
      <c r="O229" s="72" t="str">
        <f>VLOOKUP($B229,'Standards Crosswalk'!$A:$H,5,FALSE)</f>
        <v>9.4.3</v>
      </c>
      <c r="P229" s="72" t="str">
        <f>VLOOKUP($B229,'Standards Crosswalk'!$A:$H,6,FALSE)</f>
        <v>ID.GV-3</v>
      </c>
      <c r="Q229" s="72" t="str">
        <f>VLOOKUP($B229,'Standards Crosswalk'!$A:$H,7,FALSE)</f>
        <v>3.5.9</v>
      </c>
      <c r="R229" s="72" t="str">
        <f>VLOOKUP($B229,'Standards Crosswalk'!$A:$H,8,FALSE)</f>
        <v>IA-5(1)</v>
      </c>
      <c r="S229" s="72">
        <f>VLOOKUP($B229,'Standards Crosswalk'!$A:$I,9,FALSE)</f>
        <v>0</v>
      </c>
    </row>
    <row r="230" spans="1:19" ht="91" thickBot="1" x14ac:dyDescent="0.2">
      <c r="A230" s="71">
        <f t="shared" si="6"/>
        <v>228</v>
      </c>
      <c r="B230" s="77" t="s">
        <v>393</v>
      </c>
      <c r="C230" s="78" t="str">
        <f>VLOOKUP(B230,'HECVAT - Full'!A:E,2,FALSE)</f>
        <v xml:space="preserve">Does your application lock-out an account after a number of failed login attempts? </v>
      </c>
      <c r="D230" s="71">
        <f>VLOOKUP(B230,'HECVAT - Full'!A:E,4,FALSE)</f>
        <v>0</v>
      </c>
      <c r="E230" s="79" t="b">
        <f>IF(Table1[[#This Row],[Column11]]&gt;20,TRUE,FALSE)</f>
        <v>0</v>
      </c>
      <c r="F230" s="79" t="s">
        <v>561</v>
      </c>
      <c r="G230" s="80" t="s">
        <v>16</v>
      </c>
      <c r="H230" s="81">
        <v>1</v>
      </c>
      <c r="I230" s="71">
        <f>VLOOKUP(B230,'HECVAT - Full'!A:E,3,FALSE)</f>
        <v>0</v>
      </c>
      <c r="J230" s="71">
        <f>IF(Table1[[#This Row],[Column7]]=Table1[[#This Row],[Column9]],1,0)</f>
        <v>0</v>
      </c>
      <c r="K230" s="71">
        <f>IF(Table1[[#This Row],[Column8]]=1,20,"")</f>
        <v>20</v>
      </c>
      <c r="L230" s="71">
        <f>IF(Table1[[#This Row],[Column8]]=1,J230*K230,"")</f>
        <v>0</v>
      </c>
      <c r="M230" s="72" t="str">
        <f>VLOOKUP($B230,'Standards Crosswalk'!$A:$H,3,FALSE)</f>
        <v>CSC 16</v>
      </c>
      <c r="N230" s="72" t="str">
        <f>VLOOKUP($B230,'Standards Crosswalk'!$A:$H,4,FALSE)</f>
        <v>§164.308(a)(4), §164.312(a)(2)(ii),  
§164.312(a)(2)(iii)</v>
      </c>
      <c r="O230" s="72" t="str">
        <f>VLOOKUP($B230,'Standards Crosswalk'!$A:$H,5,FALSE)</f>
        <v>9.4.3</v>
      </c>
      <c r="P230" s="72" t="str">
        <f>VLOOKUP($B230,'Standards Crosswalk'!$A:$H,6,FALSE)</f>
        <v>ID.GV-3</v>
      </c>
      <c r="Q230" s="72" t="str">
        <f>VLOOKUP($B230,'Standards Crosswalk'!$A:$H,7,FALSE)</f>
        <v>3.1.8</v>
      </c>
      <c r="R230" s="72" t="str">
        <f>VLOOKUP($B230,'Standards Crosswalk'!$A:$H,8,FALSE)</f>
        <v>AC-7</v>
      </c>
      <c r="S230" s="72">
        <f>VLOOKUP($B230,'Standards Crosswalk'!$A:$I,9,FALSE)</f>
        <v>0</v>
      </c>
    </row>
    <row r="231" spans="1:19" ht="91" thickBot="1" x14ac:dyDescent="0.2">
      <c r="A231" s="71">
        <f t="shared" si="6"/>
        <v>229</v>
      </c>
      <c r="B231" s="77" t="s">
        <v>394</v>
      </c>
      <c r="C231" s="78" t="str">
        <f>VLOOKUP(B231,'HECVAT - Full'!A:E,2,FALSE)</f>
        <v>Does your application automatically lock or log-out an account after a period of inactivity?</v>
      </c>
      <c r="D231" s="71">
        <f>VLOOKUP(B231,'HECVAT - Full'!A:E,4,FALSE)</f>
        <v>0</v>
      </c>
      <c r="E231" s="79" t="b">
        <f>IF(Table1[[#This Row],[Column11]]&gt;20,TRUE,FALSE)</f>
        <v>0</v>
      </c>
      <c r="F231" s="79" t="s">
        <v>561</v>
      </c>
      <c r="G231" s="80" t="s">
        <v>16</v>
      </c>
      <c r="H231" s="81">
        <v>1</v>
      </c>
      <c r="I231" s="71">
        <f>VLOOKUP(B231,'HECVAT - Full'!A:E,3,FALSE)</f>
        <v>0</v>
      </c>
      <c r="J231" s="71">
        <f>IF(Table1[[#This Row],[Column7]]=Table1[[#This Row],[Column9]],1,0)</f>
        <v>0</v>
      </c>
      <c r="K231" s="71">
        <f>IF(Table1[[#This Row],[Column8]]=1,20,"")</f>
        <v>20</v>
      </c>
      <c r="L231" s="71">
        <f>IF(Table1[[#This Row],[Column8]]=1,J231*K231,"")</f>
        <v>0</v>
      </c>
      <c r="M231" s="72" t="str">
        <f>VLOOKUP($B231,'Standards Crosswalk'!$A:$H,3,FALSE)</f>
        <v>CSC 16</v>
      </c>
      <c r="N231" s="72" t="str">
        <f>VLOOKUP($B231,'Standards Crosswalk'!$A:$H,4,FALSE)</f>
        <v>§164.308(a)(4),
§164.312(a)(2)(ii), §164.312(a)(2)(iii)</v>
      </c>
      <c r="O231" s="72" t="str">
        <f>VLOOKUP($B231,'Standards Crosswalk'!$A:$H,5,FALSE)</f>
        <v>9.4.3</v>
      </c>
      <c r="P231" s="72" t="str">
        <f>VLOOKUP($B231,'Standards Crosswalk'!$A:$H,6,FALSE)</f>
        <v>ID.GV-3</v>
      </c>
      <c r="Q231" s="72" t="str">
        <f>VLOOKUP($B231,'Standards Crosswalk'!$A:$H,7,FALSE)</f>
        <v>3.1.10, 3.1.11</v>
      </c>
      <c r="R231" s="72" t="str">
        <f>VLOOKUP($B231,'Standards Crosswalk'!$A:$H,8,FALSE)</f>
        <v>AC-11, AC-11(1), AC-12</v>
      </c>
      <c r="S231" s="72" t="str">
        <f>VLOOKUP($B231,'Standards Crosswalk'!$A:$I,9,FALSE)</f>
        <v>8.x</v>
      </c>
    </row>
    <row r="232" spans="1:19" ht="61" thickBot="1" x14ac:dyDescent="0.2">
      <c r="A232" s="71">
        <f t="shared" si="6"/>
        <v>230</v>
      </c>
      <c r="B232" s="77" t="s">
        <v>395</v>
      </c>
      <c r="C232" s="78" t="str">
        <f>VLOOKUP(B232,'HECVAT - Full'!A:E,2,FALSE)</f>
        <v>Are passwords visible in plain text, whether when stored or entered, including service level accounts (i.e. database accounts, etc.)?</v>
      </c>
      <c r="D232" s="71">
        <f>VLOOKUP(B232,'HECVAT - Full'!A:E,4,FALSE)</f>
        <v>0</v>
      </c>
      <c r="E232" s="79" t="b">
        <f>IF(Table1[[#This Row],[Column11]]&gt;20,TRUE,FALSE)</f>
        <v>1</v>
      </c>
      <c r="F232" s="79" t="s">
        <v>561</v>
      </c>
      <c r="G232" s="80" t="s">
        <v>19</v>
      </c>
      <c r="H232" s="81">
        <v>1</v>
      </c>
      <c r="I232" s="71">
        <f>VLOOKUP(B232,'HECVAT - Full'!A:E,3,FALSE)</f>
        <v>0</v>
      </c>
      <c r="J232" s="71">
        <f>IF(Table1[[#This Row],[Column7]]=Table1[[#This Row],[Column9]],1,0)</f>
        <v>0</v>
      </c>
      <c r="K232" s="71">
        <f>IF(Table1[[#This Row],[Column8]]=1,25,"")</f>
        <v>25</v>
      </c>
      <c r="L232" s="71">
        <f>IF(Table1[[#This Row],[Column8]]=1,J232*K232,"")</f>
        <v>0</v>
      </c>
      <c r="M232" s="72" t="str">
        <f>VLOOKUP($B232,'Standards Crosswalk'!$A:$H,3,FALSE)</f>
        <v>CSC 16</v>
      </c>
      <c r="N232" s="72" t="str">
        <f>VLOOKUP($B232,'Standards Crosswalk'!$A:$H,4,FALSE)</f>
        <v>§164.308(a)(4), 
§164.312(d)</v>
      </c>
      <c r="O232" s="72" t="str">
        <f>VLOOKUP($B232,'Standards Crosswalk'!$A:$H,5,FALSE)</f>
        <v>9.4.3</v>
      </c>
      <c r="P232" s="72" t="str">
        <f>VLOOKUP($B232,'Standards Crosswalk'!$A:$H,6,FALSE)</f>
        <v>ID.GV-3</v>
      </c>
      <c r="Q232" s="72" t="str">
        <f>VLOOKUP($B232,'Standards Crosswalk'!$A:$H,7,FALSE)</f>
        <v>3.5.10</v>
      </c>
      <c r="R232" s="72" t="str">
        <f>VLOOKUP($B232,'Standards Crosswalk'!$A:$H,8,FALSE)</f>
        <v>IA-5(1)</v>
      </c>
      <c r="S232" s="72" t="str">
        <f>VLOOKUP($B232,'Standards Crosswalk'!$A:$I,9,FALSE)</f>
        <v>8.x</v>
      </c>
    </row>
    <row r="233" spans="1:19" ht="61" thickBot="1" x14ac:dyDescent="0.2">
      <c r="A233" s="71">
        <f t="shared" si="6"/>
        <v>231</v>
      </c>
      <c r="B233" s="77" t="s">
        <v>396</v>
      </c>
      <c r="C233" s="78" t="str">
        <f>VLOOKUP(B233,'HECVAT - Full'!A:E,2,FALSE)</f>
        <v>If the application is institution-hosted, can all service level and administrative account passwords be changed by the institution?</v>
      </c>
      <c r="D233" s="71">
        <f>VLOOKUP(B233,'HECVAT - Full'!A:E,4,FALSE)</f>
        <v>0</v>
      </c>
      <c r="E233" s="79" t="b">
        <f>IF(Table1[[#This Row],[Column11]]&gt;20,TRUE,FALSE)</f>
        <v>0</v>
      </c>
      <c r="F233" s="79" t="s">
        <v>561</v>
      </c>
      <c r="G233" s="80" t="s">
        <v>16</v>
      </c>
      <c r="H233" s="81">
        <v>1</v>
      </c>
      <c r="I233" s="71">
        <f>VLOOKUP(B233,'HECVAT - Full'!A:E,3,FALSE)</f>
        <v>0</v>
      </c>
      <c r="J233" s="71">
        <f>IF(Table1[[#This Row],[Column7]]=Table1[[#This Row],[Column9]],1,0)</f>
        <v>0</v>
      </c>
      <c r="K233" s="71">
        <f>IF(Table1[[#This Row],[Column8]]=1,20,"")</f>
        <v>20</v>
      </c>
      <c r="L233" s="71">
        <f>IF(Table1[[#This Row],[Column8]]=1,J233*K233,"")</f>
        <v>0</v>
      </c>
      <c r="M233" s="72" t="str">
        <f>VLOOKUP($B233,'Standards Crosswalk'!$A:$H,3,FALSE)</f>
        <v>CSC 16</v>
      </c>
      <c r="N233" s="72" t="str">
        <f>VLOOKUP($B233,'Standards Crosswalk'!$A:$H,4,FALSE)</f>
        <v>§164.308(a)(4), 
§164.312(d)</v>
      </c>
      <c r="O233" s="72">
        <f>VLOOKUP($B233,'Standards Crosswalk'!$A:$H,5,FALSE)</f>
        <v>0</v>
      </c>
      <c r="P233" s="72" t="str">
        <f>VLOOKUP($B233,'Standards Crosswalk'!$A:$H,6,FALSE)</f>
        <v>ID.GV-3</v>
      </c>
      <c r="Q233" s="72">
        <f>VLOOKUP($B233,'Standards Crosswalk'!$A:$H,7,FALSE)</f>
        <v>0</v>
      </c>
      <c r="R233" s="72">
        <f>VLOOKUP($B233,'Standards Crosswalk'!$A:$H,8,FALSE)</f>
        <v>0</v>
      </c>
      <c r="S233" s="72" t="str">
        <f>VLOOKUP($B233,'Standards Crosswalk'!$A:$I,9,FALSE)</f>
        <v>8.x</v>
      </c>
    </row>
    <row r="234" spans="1:19" ht="106" thickBot="1" x14ac:dyDescent="0.2">
      <c r="A234" s="71">
        <f t="shared" si="6"/>
        <v>232</v>
      </c>
      <c r="B234" s="77" t="s">
        <v>397</v>
      </c>
      <c r="C234" s="78" t="str">
        <f>VLOOKUP(B234,'HECVAT - Full'!A:E,2,FALSE)</f>
        <v>Does your application provide the ability to define user access levels?</v>
      </c>
      <c r="D234" s="71">
        <f>VLOOKUP(B234,'HECVAT - Full'!A:E,4,FALSE)</f>
        <v>0</v>
      </c>
      <c r="E234" s="79" t="b">
        <f>IF(Table1[[#This Row],[Column11]]&gt;20,TRUE,FALSE)</f>
        <v>0</v>
      </c>
      <c r="F234" s="79" t="s">
        <v>561</v>
      </c>
      <c r="G234" s="80" t="s">
        <v>16</v>
      </c>
      <c r="H234" s="81">
        <v>1</v>
      </c>
      <c r="I234" s="71">
        <f>VLOOKUP(B234,'HECVAT - Full'!A:E,3,FALSE)</f>
        <v>0</v>
      </c>
      <c r="J234" s="71">
        <f>IF(Table1[[#This Row],[Column7]]=Table1[[#This Row],[Column9]],1,0)</f>
        <v>0</v>
      </c>
      <c r="K234" s="71">
        <f>IF(Table1[[#This Row],[Column8]]=1,20,"")</f>
        <v>20</v>
      </c>
      <c r="L234" s="71">
        <f>IF(Table1[[#This Row],[Column8]]=1,J234*K234,"")</f>
        <v>0</v>
      </c>
      <c r="M234" s="72" t="str">
        <f>VLOOKUP($B234,'Standards Crosswalk'!$A:$H,3,FALSE)</f>
        <v>CSC 16</v>
      </c>
      <c r="N234" s="72" t="str">
        <f>VLOOKUP($B234,'Standards Crosswalk'!$A:$H,4,FALSE)</f>
        <v>§164.308(a)(4), 
§164.312(a)(1), §164.312(a)(2)(i), 
§164.312(d)</v>
      </c>
      <c r="O234" s="72">
        <f>VLOOKUP($B234,'Standards Crosswalk'!$A:$H,5,FALSE)</f>
        <v>0</v>
      </c>
      <c r="P234" s="72" t="str">
        <f>VLOOKUP($B234,'Standards Crosswalk'!$A:$H,6,FALSE)</f>
        <v>ID.GV-3</v>
      </c>
      <c r="Q234" s="72" t="str">
        <f>VLOOKUP($B234,'Standards Crosswalk'!$A:$H,7,FALSE)</f>
        <v>3.1.2</v>
      </c>
      <c r="R234" s="72">
        <f>VLOOKUP($B234,'Standards Crosswalk'!$A:$H,8,FALSE)</f>
        <v>0</v>
      </c>
      <c r="S234" s="72" t="str">
        <f>VLOOKUP($B234,'Standards Crosswalk'!$A:$I,9,FALSE)</f>
        <v>8.x</v>
      </c>
    </row>
    <row r="235" spans="1:19" ht="106" thickBot="1" x14ac:dyDescent="0.2">
      <c r="A235" s="71">
        <f t="shared" si="6"/>
        <v>233</v>
      </c>
      <c r="B235" s="77" t="s">
        <v>398</v>
      </c>
      <c r="C235" s="78" t="str">
        <f>VLOOKUP(B235,'HECVAT - Full'!A:E,2,FALSE)</f>
        <v>Does your application support varying levels of access to administrative tasks defined individually per user?</v>
      </c>
      <c r="D235" s="71">
        <f>VLOOKUP(B235,'HECVAT - Full'!A:E,4,FALSE)</f>
        <v>0</v>
      </c>
      <c r="E235" s="79" t="b">
        <f>IF(Table1[[#This Row],[Column11]]&gt;20,TRUE,FALSE)</f>
        <v>0</v>
      </c>
      <c r="F235" s="79" t="s">
        <v>561</v>
      </c>
      <c r="G235" s="80" t="s">
        <v>16</v>
      </c>
      <c r="H235" s="81">
        <v>1</v>
      </c>
      <c r="I235" s="71">
        <f>VLOOKUP(B235,'HECVAT - Full'!A:E,3,FALSE)</f>
        <v>0</v>
      </c>
      <c r="J235" s="71">
        <f>IF(Table1[[#This Row],[Column7]]=Table1[[#This Row],[Column9]],1,0)</f>
        <v>0</v>
      </c>
      <c r="K235" s="71">
        <f>IF(Table1[[#This Row],[Column8]]=1,20,"")</f>
        <v>20</v>
      </c>
      <c r="L235" s="71">
        <f>IF(Table1[[#This Row],[Column8]]=1,J235*K235,"")</f>
        <v>0</v>
      </c>
      <c r="M235" s="72" t="str">
        <f>VLOOKUP($B235,'Standards Crosswalk'!$A:$H,3,FALSE)</f>
        <v>CSC 16, 5</v>
      </c>
      <c r="N235" s="72" t="str">
        <f>VLOOKUP($B235,'Standards Crosswalk'!$A:$H,4,FALSE)</f>
        <v>§164.308(a)(4),
§164.312(a)(1), §164.312(a)(2)(i), 
§164.312(d)</v>
      </c>
      <c r="O235" s="72" t="str">
        <f>VLOOKUP($B235,'Standards Crosswalk'!$A:$H,5,FALSE)</f>
        <v>9.1.1</v>
      </c>
      <c r="P235" s="72" t="str">
        <f>VLOOKUP($B235,'Standards Crosswalk'!$A:$H,6,FALSE)</f>
        <v>ID.GV-3</v>
      </c>
      <c r="Q235" s="72" t="str">
        <f>VLOOKUP($B235,'Standards Crosswalk'!$A:$H,7,FALSE)</f>
        <v>3.1.2, 3.1.5</v>
      </c>
      <c r="R235" s="72">
        <f>VLOOKUP($B235,'Standards Crosswalk'!$A:$H,8,FALSE)</f>
        <v>0</v>
      </c>
      <c r="S235" s="72" t="str">
        <f>VLOOKUP($B235,'Standards Crosswalk'!$A:$I,9,FALSE)</f>
        <v>8.x</v>
      </c>
    </row>
    <row r="236" spans="1:19" ht="106" thickBot="1" x14ac:dyDescent="0.2">
      <c r="A236" s="71">
        <f t="shared" si="6"/>
        <v>234</v>
      </c>
      <c r="B236" s="77" t="s">
        <v>399</v>
      </c>
      <c r="C236" s="78" t="str">
        <f>VLOOKUP(B236,'HECVAT - Full'!A:E,2,FALSE)</f>
        <v>Does your application support varying levels of access to records based on user ID?</v>
      </c>
      <c r="D236" s="71">
        <f>VLOOKUP(B236,'HECVAT - Full'!A:E,4,FALSE)</f>
        <v>0</v>
      </c>
      <c r="E236" s="79" t="b">
        <f>IF(Table1[[#This Row],[Column11]]&gt;20,TRUE,FALSE)</f>
        <v>0</v>
      </c>
      <c r="F236" s="79" t="s">
        <v>561</v>
      </c>
      <c r="G236" s="80" t="s">
        <v>16</v>
      </c>
      <c r="H236" s="81">
        <v>1</v>
      </c>
      <c r="I236" s="71">
        <f>VLOOKUP(B236,'HECVAT - Full'!A:E,3,FALSE)</f>
        <v>0</v>
      </c>
      <c r="J236" s="71">
        <f>IF(Table1[[#This Row],[Column7]]=Table1[[#This Row],[Column9]],1,0)</f>
        <v>0</v>
      </c>
      <c r="K236" s="71">
        <f>IF(Table1[[#This Row],[Column8]]=1,20,"")</f>
        <v>20</v>
      </c>
      <c r="L236" s="71">
        <f>IF(Table1[[#This Row],[Column8]]=1,J236*K236,"")</f>
        <v>0</v>
      </c>
      <c r="M236" s="72" t="str">
        <f>VLOOKUP($B236,'Standards Crosswalk'!$A:$H,3,FALSE)</f>
        <v>CSC 16</v>
      </c>
      <c r="N236" s="72" t="str">
        <f>VLOOKUP($B236,'Standards Crosswalk'!$A:$H,4,FALSE)</f>
        <v>§164.308(a)(4), 
§164.312(a)(1), §164.312(a)(2)(i),
§164.312(d)</v>
      </c>
      <c r="O236" s="72" t="str">
        <f>VLOOKUP($B236,'Standards Crosswalk'!$A:$H,5,FALSE)</f>
        <v>9.2.3</v>
      </c>
      <c r="P236" s="72" t="str">
        <f>VLOOKUP($B236,'Standards Crosswalk'!$A:$H,6,FALSE)</f>
        <v>ID.GV-3</v>
      </c>
      <c r="Q236" s="72" t="str">
        <f>VLOOKUP($B236,'Standards Crosswalk'!$A:$H,7,FALSE)</f>
        <v>3.1.2</v>
      </c>
      <c r="R236" s="72">
        <f>VLOOKUP($B236,'Standards Crosswalk'!$A:$H,8,FALSE)</f>
        <v>0</v>
      </c>
      <c r="S236" s="72" t="str">
        <f>VLOOKUP($B236,'Standards Crosswalk'!$A:$I,9,FALSE)</f>
        <v>8.x</v>
      </c>
    </row>
    <row r="237" spans="1:19" ht="46" thickBot="1" x14ac:dyDescent="0.2">
      <c r="A237" s="71">
        <f t="shared" si="6"/>
        <v>235</v>
      </c>
      <c r="B237" s="77" t="s">
        <v>400</v>
      </c>
      <c r="C237" s="78" t="str">
        <f>VLOOKUP(B237,'HECVAT - Full'!A:E,2,FALSE)</f>
        <v>Is there a limit to the number of groups a user can be assigned?</v>
      </c>
      <c r="D237" s="71">
        <f>VLOOKUP(B237,'HECVAT - Full'!A:E,4,FALSE)</f>
        <v>0</v>
      </c>
      <c r="E237" s="79" t="b">
        <f>IF(Table1[[#This Row],[Column11]]&gt;20,TRUE,FALSE)</f>
        <v>0</v>
      </c>
      <c r="F237" s="79" t="s">
        <v>561</v>
      </c>
      <c r="G237" s="80" t="s">
        <v>19</v>
      </c>
      <c r="H237" s="81">
        <v>1</v>
      </c>
      <c r="I237" s="71">
        <f>VLOOKUP(B237,'HECVAT - Full'!A:E,3,FALSE)</f>
        <v>0</v>
      </c>
      <c r="J237" s="71">
        <f>IF(Table1[[#This Row],[Column7]]=Table1[[#This Row],[Column9]],1,0)</f>
        <v>0</v>
      </c>
      <c r="K237" s="71">
        <f>IF(Table1[[#This Row],[Column8]]=1,20,"")</f>
        <v>20</v>
      </c>
      <c r="L237" s="71">
        <f>IF(Table1[[#This Row],[Column8]]=1,J237*K237,"")</f>
        <v>0</v>
      </c>
      <c r="M237" s="72" t="str">
        <f>VLOOKUP($B237,'Standards Crosswalk'!$A:$H,3,FALSE)</f>
        <v>CSC 16</v>
      </c>
      <c r="N237" s="72" t="str">
        <f>VLOOKUP($B237,'Standards Crosswalk'!$A:$H,4,FALSE)</f>
        <v>§164.308(a)(4), 
§164.312(a)(1)</v>
      </c>
      <c r="O237" s="72" t="str">
        <f>VLOOKUP($B237,'Standards Crosswalk'!$A:$H,5,FALSE)</f>
        <v>9.2.3</v>
      </c>
      <c r="P237" s="72" t="str">
        <f>VLOOKUP($B237,'Standards Crosswalk'!$A:$H,6,FALSE)</f>
        <v>ID.GV-3</v>
      </c>
      <c r="Q237" s="72">
        <f>VLOOKUP($B237,'Standards Crosswalk'!$A:$H,7,FALSE)</f>
        <v>0</v>
      </c>
      <c r="R237" s="72">
        <f>VLOOKUP($B237,'Standards Crosswalk'!$A:$H,8,FALSE)</f>
        <v>0</v>
      </c>
      <c r="S237" s="72">
        <f>VLOOKUP($B237,'Standards Crosswalk'!$A:$I,9,FALSE)</f>
        <v>0</v>
      </c>
    </row>
    <row r="238" spans="1:19" ht="61" thickBot="1" x14ac:dyDescent="0.2">
      <c r="A238" s="71">
        <f t="shared" si="6"/>
        <v>236</v>
      </c>
      <c r="B238" s="77" t="s">
        <v>401</v>
      </c>
      <c r="C238" s="78" t="str">
        <f>VLOOKUP(B238,'HECVAT - Full'!A:E,2,FALSE)</f>
        <v>Do accounts used for vendor supplied remote support abide by the same authentication policies and access logging as the rest of the system?</v>
      </c>
      <c r="D238" s="71">
        <f>VLOOKUP(B238,'HECVAT - Full'!A:E,4,FALSE)</f>
        <v>0</v>
      </c>
      <c r="E238" s="79" t="b">
        <f>IF(Table1[[#This Row],[Column11]]&gt;20,TRUE,FALSE)</f>
        <v>0</v>
      </c>
      <c r="F238" s="79" t="s">
        <v>561</v>
      </c>
      <c r="G238" s="80" t="s">
        <v>16</v>
      </c>
      <c r="H238" s="81">
        <v>1</v>
      </c>
      <c r="I238" s="71">
        <f>VLOOKUP(B238,'HECVAT - Full'!A:E,3,FALSE)</f>
        <v>0</v>
      </c>
      <c r="J238" s="71">
        <f>IF(Table1[[#This Row],[Column7]]=Table1[[#This Row],[Column9]],1,0)</f>
        <v>0</v>
      </c>
      <c r="K238" s="71">
        <f>IF(Table1[[#This Row],[Column8]]=1,20,"")</f>
        <v>20</v>
      </c>
      <c r="L238" s="71">
        <f>IF(Table1[[#This Row],[Column8]]=1,J238*K238,"")</f>
        <v>0</v>
      </c>
      <c r="M238" s="72" t="str">
        <f>VLOOKUP($B238,'Standards Crosswalk'!$A:$H,3,FALSE)</f>
        <v>CSC 6, CSC 16</v>
      </c>
      <c r="N238" s="72" t="str">
        <f>VLOOKUP($B238,'Standards Crosswalk'!$A:$H,4,FALSE)</f>
        <v>§164.308(a)(4), 
§164.312(a)(1)</v>
      </c>
      <c r="O238" s="72">
        <f>VLOOKUP($B238,'Standards Crosswalk'!$A:$H,5,FALSE)</f>
        <v>0</v>
      </c>
      <c r="P238" s="72" t="str">
        <f>VLOOKUP($B238,'Standards Crosswalk'!$A:$H,6,FALSE)</f>
        <v>ID.GV-3</v>
      </c>
      <c r="Q238" s="72" t="str">
        <f>VLOOKUP($B238,'Standards Crosswalk'!$A:$H,7,FALSE)</f>
        <v>3.3.1</v>
      </c>
      <c r="R238" s="72" t="str">
        <f>VLOOKUP($B238,'Standards Crosswalk'!$A:$H,8,FALSE)</f>
        <v>AU-2, AU-6, AU-12</v>
      </c>
      <c r="S238" s="72" t="str">
        <f>VLOOKUP($B238,'Standards Crosswalk'!$A:$I,9,FALSE)</f>
        <v>8.x</v>
      </c>
    </row>
    <row r="239" spans="1:19" ht="61" thickBot="1" x14ac:dyDescent="0.2">
      <c r="A239" s="71">
        <f t="shared" si="6"/>
        <v>237</v>
      </c>
      <c r="B239" s="77" t="s">
        <v>402</v>
      </c>
      <c r="C239" s="78" t="str">
        <f>VLOOKUP(B239,'HECVAT - Full'!A:E,2,FALSE)</f>
        <v xml:space="preserve">Does the application log record access including specific user, date/time of access, and originating IP or device? </v>
      </c>
      <c r="D239" s="71">
        <f>VLOOKUP(B239,'HECVAT - Full'!A:E,4,FALSE)</f>
        <v>0</v>
      </c>
      <c r="E239" s="79" t="b">
        <f>IF(Table1[[#This Row],[Column11]]&gt;20,TRUE,FALSE)</f>
        <v>0</v>
      </c>
      <c r="F239" s="79" t="s">
        <v>561</v>
      </c>
      <c r="G239" s="80" t="s">
        <v>16</v>
      </c>
      <c r="H239" s="81">
        <v>1</v>
      </c>
      <c r="I239" s="71">
        <f>VLOOKUP(B239,'HECVAT - Full'!A:E,3,FALSE)</f>
        <v>0</v>
      </c>
      <c r="J239" s="71">
        <f>IF(Table1[[#This Row],[Column7]]=Table1[[#This Row],[Column9]],1,0)</f>
        <v>0</v>
      </c>
      <c r="K239" s="71">
        <f>IF(Table1[[#This Row],[Column8]]=1,20,"")</f>
        <v>20</v>
      </c>
      <c r="L239" s="71">
        <f>IF(Table1[[#This Row],[Column8]]=1,J239*K239,"")</f>
        <v>0</v>
      </c>
      <c r="M239" s="72" t="str">
        <f>VLOOKUP($B239,'Standards Crosswalk'!$A:$H,3,FALSE)</f>
        <v>CSC 6</v>
      </c>
      <c r="N239" s="72" t="str">
        <f>VLOOKUP($B239,'Standards Crosswalk'!$A:$H,4,FALSE)</f>
        <v>§ 164.308(a)(1)(ii)(D)</v>
      </c>
      <c r="O239" s="72" t="str">
        <f>VLOOKUP($B239,'Standards Crosswalk'!$A:$H,5,FALSE)</f>
        <v>12.4.1</v>
      </c>
      <c r="P239" s="72" t="str">
        <f>VLOOKUP($B239,'Standards Crosswalk'!$A:$H,6,FALSE)</f>
        <v>ID.GV-3</v>
      </c>
      <c r="Q239" s="72" t="str">
        <f>VLOOKUP($B239,'Standards Crosswalk'!$A:$H,7,FALSE)</f>
        <v>3.3.2</v>
      </c>
      <c r="R239" s="72" t="str">
        <f>VLOOKUP($B239,'Standards Crosswalk'!$A:$H,8,FALSE)</f>
        <v>AU-3</v>
      </c>
      <c r="S239" s="72">
        <f>VLOOKUP($B239,'Standards Crosswalk'!$A:$I,9,FALSE)</f>
        <v>10.7</v>
      </c>
    </row>
    <row r="240" spans="1:19" ht="91" thickBot="1" x14ac:dyDescent="0.2">
      <c r="A240" s="71">
        <f t="shared" si="6"/>
        <v>238</v>
      </c>
      <c r="B240" s="77" t="s">
        <v>403</v>
      </c>
      <c r="C240" s="78" t="str">
        <f>VLOOKUP(B240,'HECVAT - Full'!A:E,2,FALSE)</f>
        <v>Does the application log administrative activity, such user account access changes and password changes, including specific user, date/time of changes, and originating IP or device?</v>
      </c>
      <c r="D240" s="71">
        <f>VLOOKUP(B240,'HECVAT - Full'!A:E,4,FALSE)</f>
        <v>0</v>
      </c>
      <c r="E240" s="79" t="b">
        <f>IF(Table1[[#This Row],[Column11]]&gt;20,TRUE,FALSE)</f>
        <v>0</v>
      </c>
      <c r="F240" s="79" t="s">
        <v>561</v>
      </c>
      <c r="G240" s="80" t="s">
        <v>16</v>
      </c>
      <c r="H240" s="81">
        <v>1</v>
      </c>
      <c r="I240" s="71">
        <f>VLOOKUP(B240,'HECVAT - Full'!A:E,3,FALSE)</f>
        <v>0</v>
      </c>
      <c r="J240" s="71">
        <f>IF(Table1[[#This Row],[Column7]]=Table1[[#This Row],[Column9]],1,0)</f>
        <v>0</v>
      </c>
      <c r="K240" s="71">
        <f>IF(Table1[[#This Row],[Column8]]=1,20,"")</f>
        <v>20</v>
      </c>
      <c r="L240" s="71">
        <f>IF(Table1[[#This Row],[Column8]]=1,J240*K240,"")</f>
        <v>0</v>
      </c>
      <c r="M240" s="72" t="str">
        <f>VLOOKUP($B240,'Standards Crosswalk'!$A:$H,3,FALSE)</f>
        <v>CSC 6</v>
      </c>
      <c r="N240" s="72" t="str">
        <f>VLOOKUP($B240,'Standards Crosswalk'!$A:$H,4,FALSE)</f>
        <v>§164.312(b)</v>
      </c>
      <c r="O240" s="72" t="str">
        <f>VLOOKUP($B240,'Standards Crosswalk'!$A:$H,5,FALSE)</f>
        <v>12.4.1</v>
      </c>
      <c r="P240" s="72" t="str">
        <f>VLOOKUP($B240,'Standards Crosswalk'!$A:$H,6,FALSE)</f>
        <v>ID.GV-3</v>
      </c>
      <c r="Q240" s="72">
        <f>VLOOKUP($B240,'Standards Crosswalk'!$A:$H,7,FALSE)</f>
        <v>0</v>
      </c>
      <c r="R240" s="72">
        <f>VLOOKUP($B240,'Standards Crosswalk'!$A:$H,8,FALSE)</f>
        <v>0</v>
      </c>
      <c r="S240" s="72">
        <f>VLOOKUP($B240,'Standards Crosswalk'!$A:$I,9,FALSE)</f>
        <v>10.7</v>
      </c>
    </row>
    <row r="241" spans="1:25" ht="31" thickBot="1" x14ac:dyDescent="0.2">
      <c r="A241" s="71">
        <f t="shared" si="6"/>
        <v>239</v>
      </c>
      <c r="B241" s="77" t="s">
        <v>404</v>
      </c>
      <c r="C241" s="78" t="str">
        <f>VLOOKUP(B241,'HECVAT - Full'!A:E,2,FALSE)</f>
        <v>How long does the application keep access/change logs?</v>
      </c>
      <c r="D241" s="71">
        <f>VLOOKUP(B241,'HECVAT - Full'!A:E,4,FALSE)</f>
        <v>0</v>
      </c>
      <c r="E241" s="79" t="b">
        <f>IF(Table1[[#This Row],[Column11]]&gt;20,TRUE,FALSE)</f>
        <v>0</v>
      </c>
      <c r="F241" s="79" t="s">
        <v>561</v>
      </c>
      <c r="G241" s="80" t="s">
        <v>16</v>
      </c>
      <c r="H241" s="81">
        <v>1</v>
      </c>
      <c r="I241" s="71">
        <f>VLOOKUP(B241,'HECVAT - Full'!A:E,3,FALSE)</f>
        <v>0</v>
      </c>
      <c r="J241" s="71">
        <f>IF(VLOOKUP(Table1[[#This Row],[Column2]],'Analyst Report'!$A$41:$G$88,7,FALSE)="Yes",1,0)</f>
        <v>0</v>
      </c>
      <c r="K241" s="71">
        <f>IF(Table1[[#This Row],[Column8]]=1,20,"")</f>
        <v>20</v>
      </c>
      <c r="L241" s="71">
        <f>IF(Table1[[#This Row],[Column8]]=1,J241*K241,"")</f>
        <v>0</v>
      </c>
      <c r="M241" s="72" t="str">
        <f>VLOOKUP($B241,'Standards Crosswalk'!$A:$H,3,FALSE)</f>
        <v>CSC 6</v>
      </c>
      <c r="N241" s="72" t="str">
        <f>VLOOKUP($B241,'Standards Crosswalk'!$A:$H,4,FALSE)</f>
        <v>§164.312(b)</v>
      </c>
      <c r="O241" s="72" t="str">
        <f>VLOOKUP($B241,'Standards Crosswalk'!$A:$H,5,FALSE)</f>
        <v>12.4.1</v>
      </c>
      <c r="P241" s="72" t="str">
        <f>VLOOKUP($B241,'Standards Crosswalk'!$A:$H,6,FALSE)</f>
        <v>ID.GV-3</v>
      </c>
      <c r="Q241" s="72">
        <f>VLOOKUP($B241,'Standards Crosswalk'!$A:$H,7,FALSE)</f>
        <v>0</v>
      </c>
      <c r="R241" s="72">
        <f>VLOOKUP($B241,'Standards Crosswalk'!$A:$H,8,FALSE)</f>
        <v>0</v>
      </c>
      <c r="S241" s="72">
        <f>VLOOKUP($B241,'Standards Crosswalk'!$A:$I,9,FALSE)</f>
        <v>10.7</v>
      </c>
      <c r="T241" s="94"/>
      <c r="U241" s="94"/>
      <c r="V241" s="94"/>
      <c r="W241" s="94"/>
      <c r="X241" s="94"/>
      <c r="Y241" s="94"/>
    </row>
    <row r="242" spans="1:25" ht="16" thickBot="1" x14ac:dyDescent="0.2">
      <c r="A242" s="71">
        <f t="shared" si="6"/>
        <v>240</v>
      </c>
      <c r="B242" s="77" t="s">
        <v>405</v>
      </c>
      <c r="C242" s="78" t="str">
        <f>VLOOKUP(B242,'HECVAT - Full'!A:E,2,FALSE)</f>
        <v xml:space="preserve">Can the application logs be archived? </v>
      </c>
      <c r="D242" s="71">
        <f>VLOOKUP(B242,'HECVAT - Full'!A:E,4,FALSE)</f>
        <v>0</v>
      </c>
      <c r="E242" s="79" t="b">
        <f>IF(Table1[[#This Row],[Column11]]&gt;20,TRUE,FALSE)</f>
        <v>0</v>
      </c>
      <c r="F242" s="79" t="s">
        <v>561</v>
      </c>
      <c r="G242" s="80" t="s">
        <v>16</v>
      </c>
      <c r="H242" s="81">
        <v>1</v>
      </c>
      <c r="I242" s="71">
        <f>VLOOKUP(B242,'HECVAT - Full'!A:E,3,FALSE)</f>
        <v>0</v>
      </c>
      <c r="J242" s="71">
        <f>IF(Table1[[#This Row],[Column7]]=Table1[[#This Row],[Column9]],1,0)</f>
        <v>0</v>
      </c>
      <c r="K242" s="71">
        <f>IF(Table1[[#This Row],[Column8]]=1,20,"")</f>
        <v>20</v>
      </c>
      <c r="L242" s="71">
        <f>IF(Table1[[#This Row],[Column8]]=1,J242*K242,"")</f>
        <v>0</v>
      </c>
      <c r="M242" s="72" t="str">
        <f>VLOOKUP($B242,'Standards Crosswalk'!$A:$H,3,FALSE)</f>
        <v>CSC 6</v>
      </c>
      <c r="N242" s="72" t="str">
        <f>VLOOKUP($B242,'Standards Crosswalk'!$A:$H,4,FALSE)</f>
        <v>§164.312(b)</v>
      </c>
      <c r="O242" s="72" t="str">
        <f>VLOOKUP($B242,'Standards Crosswalk'!$A:$H,5,FALSE)</f>
        <v>12.4.1</v>
      </c>
      <c r="P242" s="72" t="str">
        <f>VLOOKUP($B242,'Standards Crosswalk'!$A:$H,6,FALSE)</f>
        <v>ID.GV-3</v>
      </c>
      <c r="Q242" s="72">
        <f>VLOOKUP($B242,'Standards Crosswalk'!$A:$H,7,FALSE)</f>
        <v>0</v>
      </c>
      <c r="R242" s="72">
        <f>VLOOKUP($B242,'Standards Crosswalk'!$A:$H,8,FALSE)</f>
        <v>0</v>
      </c>
      <c r="S242" s="72">
        <f>VLOOKUP($B242,'Standards Crosswalk'!$A:$I,9,FALSE)</f>
        <v>10.7</v>
      </c>
    </row>
    <row r="243" spans="1:25" ht="31" thickBot="1" x14ac:dyDescent="0.2">
      <c r="A243" s="71">
        <f t="shared" si="6"/>
        <v>241</v>
      </c>
      <c r="B243" s="77" t="s">
        <v>406</v>
      </c>
      <c r="C243" s="78" t="str">
        <f>VLOOKUP(B243,'HECVAT - Full'!A:E,2,FALSE)</f>
        <v xml:space="preserve">Can the application logs be saved externally? </v>
      </c>
      <c r="D243" s="71">
        <f>VLOOKUP(B243,'HECVAT - Full'!A:E,4,FALSE)</f>
        <v>0</v>
      </c>
      <c r="E243" s="79" t="b">
        <f>IF(Table1[[#This Row],[Column11]]&gt;20,TRUE,FALSE)</f>
        <v>0</v>
      </c>
      <c r="F243" s="79" t="s">
        <v>561</v>
      </c>
      <c r="G243" s="80" t="s">
        <v>16</v>
      </c>
      <c r="H243" s="81">
        <v>1</v>
      </c>
      <c r="I243" s="71">
        <f>VLOOKUP(B243,'HECVAT - Full'!A:E,3,FALSE)</f>
        <v>0</v>
      </c>
      <c r="J243" s="71">
        <f>IF(Table1[[#This Row],[Column7]]=Table1[[#This Row],[Column9]],1,0)</f>
        <v>0</v>
      </c>
      <c r="K243" s="71">
        <f>IF(Table1[[#This Row],[Column8]]=1,20,"")</f>
        <v>20</v>
      </c>
      <c r="L243" s="71">
        <f>IF(Table1[[#This Row],[Column8]]=1,J243*K243,"")</f>
        <v>0</v>
      </c>
      <c r="M243" s="72" t="str">
        <f>VLOOKUP($B243,'Standards Crosswalk'!$A:$H,3,FALSE)</f>
        <v>CSC 6</v>
      </c>
      <c r="N243" s="72" t="str">
        <f>VLOOKUP($B243,'Standards Crosswalk'!$A:$H,4,FALSE)</f>
        <v>§164.312(b)</v>
      </c>
      <c r="O243" s="72" t="str">
        <f>VLOOKUP($B243,'Standards Crosswalk'!$A:$H,5,FALSE)</f>
        <v>12.4.1</v>
      </c>
      <c r="P243" s="72" t="str">
        <f>VLOOKUP($B243,'Standards Crosswalk'!$A:$H,6,FALSE)</f>
        <v>ID.GV-3</v>
      </c>
      <c r="Q243" s="72">
        <f>VLOOKUP($B243,'Standards Crosswalk'!$A:$H,7,FALSE)</f>
        <v>0</v>
      </c>
      <c r="R243" s="72">
        <f>VLOOKUP($B243,'Standards Crosswalk'!$A:$H,8,FALSE)</f>
        <v>0</v>
      </c>
      <c r="S243" s="72">
        <f>VLOOKUP($B243,'Standards Crosswalk'!$A:$I,9,FALSE)</f>
        <v>10.7</v>
      </c>
    </row>
    <row r="244" spans="1:25" ht="46" thickBot="1" x14ac:dyDescent="0.2">
      <c r="A244" s="71">
        <f t="shared" si="6"/>
        <v>242</v>
      </c>
      <c r="B244" s="77" t="s">
        <v>407</v>
      </c>
      <c r="C244" s="78" t="str">
        <f>VLOOKUP(B244,'HECVAT - Full'!A:E,2,FALSE)</f>
        <v>Does your data backup and retention policies and practices meet HIPAA requirements?</v>
      </c>
      <c r="D244" s="71">
        <f>VLOOKUP(B244,'HECVAT - Full'!A:E,4,FALSE)</f>
        <v>0</v>
      </c>
      <c r="E244" s="79" t="b">
        <f>IF(Table1[[#This Row],[Column11]]&gt;20,TRUE,FALSE)</f>
        <v>0</v>
      </c>
      <c r="F244" s="79" t="s">
        <v>561</v>
      </c>
      <c r="G244" s="80" t="s">
        <v>16</v>
      </c>
      <c r="H244" s="81">
        <v>1</v>
      </c>
      <c r="I244" s="71">
        <f>VLOOKUP(B244,'HECVAT - Full'!A:E,3,FALSE)</f>
        <v>0</v>
      </c>
      <c r="J244" s="71">
        <f>IF(Table1[[#This Row],[Column7]]=Table1[[#This Row],[Column9]],1,0)</f>
        <v>0</v>
      </c>
      <c r="K244" s="71">
        <f>IF(Table1[[#This Row],[Column8]]=1,20,"")</f>
        <v>20</v>
      </c>
      <c r="L244" s="71">
        <f>IF(Table1[[#This Row],[Column8]]=1,J244*K244,"")</f>
        <v>0</v>
      </c>
      <c r="M244" s="72" t="str">
        <f>VLOOKUP($B244,'Standards Crosswalk'!$A:$H,3,FALSE)</f>
        <v>CSC 10</v>
      </c>
      <c r="N244" s="72" t="str">
        <f>VLOOKUP($B244,'Standards Crosswalk'!$A:$H,4,FALSE)</f>
        <v>§164.312(a)(2)(ii)</v>
      </c>
      <c r="O244" s="72" t="str">
        <f>VLOOKUP($B244,'Standards Crosswalk'!$A:$H,5,FALSE)</f>
        <v>18.1.1</v>
      </c>
      <c r="P244" s="72" t="str">
        <f>VLOOKUP($B244,'Standards Crosswalk'!$A:$H,6,FALSE)</f>
        <v>ID.GV-3</v>
      </c>
      <c r="Q244" s="72">
        <f>VLOOKUP($B244,'Standards Crosswalk'!$A:$H,7,FALSE)</f>
        <v>0</v>
      </c>
      <c r="R244" s="72">
        <f>VLOOKUP($B244,'Standards Crosswalk'!$A:$H,8,FALSE)</f>
        <v>0</v>
      </c>
      <c r="S244" s="72">
        <f>VLOOKUP($B244,'Standards Crosswalk'!$A:$I,9,FALSE)</f>
        <v>10.7</v>
      </c>
    </row>
    <row r="245" spans="1:25" ht="31" thickBot="1" x14ac:dyDescent="0.2">
      <c r="A245" s="71">
        <f t="shared" si="6"/>
        <v>243</v>
      </c>
      <c r="B245" s="77" t="s">
        <v>408</v>
      </c>
      <c r="C245" s="78" t="str">
        <f>VLOOKUP(B245,'HECVAT - Full'!A:E,2,FALSE)</f>
        <v>Do you have a disaster recovery plan and emergency mode operation plan?</v>
      </c>
      <c r="D245" s="71">
        <f>VLOOKUP(B245,'HECVAT - Full'!A:E,4,FALSE)</f>
        <v>0</v>
      </c>
      <c r="E245" s="79" t="b">
        <f>IF(Table1[[#This Row],[Column11]]&gt;20,TRUE,FALSE)</f>
        <v>0</v>
      </c>
      <c r="F245" s="79" t="s">
        <v>561</v>
      </c>
      <c r="G245" s="80" t="s">
        <v>16</v>
      </c>
      <c r="H245" s="81">
        <v>1</v>
      </c>
      <c r="I245" s="71">
        <f>VLOOKUP(B245,'HECVAT - Full'!A:E,3,FALSE)</f>
        <v>0</v>
      </c>
      <c r="J245" s="71">
        <f>IF(Table1[[#This Row],[Column7]]=Table1[[#This Row],[Column9]],1,0)</f>
        <v>0</v>
      </c>
      <c r="K245" s="71">
        <f>IF(Table1[[#This Row],[Column8]]=1,20,"")</f>
        <v>20</v>
      </c>
      <c r="L245" s="71">
        <f>IF(Table1[[#This Row],[Column8]]=1,J245*K245,"")</f>
        <v>0</v>
      </c>
      <c r="M245" s="72" t="str">
        <f>VLOOKUP($B245,'Standards Crosswalk'!$A:$H,3,FALSE)</f>
        <v>CSC 10</v>
      </c>
      <c r="N245" s="72" t="str">
        <f>VLOOKUP($B245,'Standards Crosswalk'!$A:$H,4,FALSE)</f>
        <v>§164.308(a)(7)(i)</v>
      </c>
      <c r="O245" s="72" t="str">
        <f>VLOOKUP($B245,'Standards Crosswalk'!$A:$H,5,FALSE)</f>
        <v>17.1.1</v>
      </c>
      <c r="P245" s="72" t="str">
        <f>VLOOKUP($B245,'Standards Crosswalk'!$A:$H,6,FALSE)</f>
        <v>ID.GV-3</v>
      </c>
      <c r="Q245" s="72" t="str">
        <f>VLOOKUP($B245,'Standards Crosswalk'!$A:$H,7,FALSE)</f>
        <v>3.12.2</v>
      </c>
      <c r="R245" s="72">
        <f>VLOOKUP($B245,'Standards Crosswalk'!$A:$H,8,FALSE)</f>
        <v>0</v>
      </c>
      <c r="S245" s="72">
        <f>VLOOKUP($B245,'Standards Crosswalk'!$A:$I,9,FALSE)</f>
        <v>12.1</v>
      </c>
    </row>
    <row r="246" spans="1:25" ht="31" thickBot="1" x14ac:dyDescent="0.2">
      <c r="A246" s="71">
        <f t="shared" si="6"/>
        <v>244</v>
      </c>
      <c r="B246" s="77" t="s">
        <v>409</v>
      </c>
      <c r="C246" s="78" t="str">
        <f>VLOOKUP(B246,'HECVAT - Full'!A:E,2,FALSE)</f>
        <v>Have the policies/plans mentioned above been tested?</v>
      </c>
      <c r="D246" s="71">
        <f>VLOOKUP(B246,'HECVAT - Full'!A:E,4,FALSE)</f>
        <v>0</v>
      </c>
      <c r="E246" s="79" t="b">
        <f>IF(Table1[[#This Row],[Column11]]&gt;20,TRUE,FALSE)</f>
        <v>0</v>
      </c>
      <c r="F246" s="79" t="s">
        <v>561</v>
      </c>
      <c r="G246" s="80" t="s">
        <v>16</v>
      </c>
      <c r="H246" s="81">
        <v>1</v>
      </c>
      <c r="I246" s="71">
        <f>VLOOKUP(B246,'HECVAT - Full'!A:E,3,FALSE)</f>
        <v>0</v>
      </c>
      <c r="J246" s="71">
        <f>IF(Table1[[#This Row],[Column7]]=Table1[[#This Row],[Column9]],1,0)</f>
        <v>0</v>
      </c>
      <c r="K246" s="71">
        <f>IF(Table1[[#This Row],[Column8]]=1,20,"")</f>
        <v>20</v>
      </c>
      <c r="L246" s="71">
        <f>IF(Table1[[#This Row],[Column8]]=1,J246*K246,"")</f>
        <v>0</v>
      </c>
      <c r="M246" s="72" t="str">
        <f>VLOOKUP($B246,'Standards Crosswalk'!$A:$H,3,FALSE)</f>
        <v>CSC 10</v>
      </c>
      <c r="N246" s="72" t="str">
        <f>VLOOKUP($B246,'Standards Crosswalk'!$A:$H,4,FALSE)</f>
        <v>§164.308(a)(7)(i)</v>
      </c>
      <c r="O246" s="72" t="str">
        <f>VLOOKUP($B246,'Standards Crosswalk'!$A:$H,5,FALSE)</f>
        <v>17.1.3</v>
      </c>
      <c r="P246" s="72" t="str">
        <f>VLOOKUP($B246,'Standards Crosswalk'!$A:$H,6,FALSE)</f>
        <v>ID.GV-3</v>
      </c>
      <c r="Q246" s="72" t="str">
        <f>VLOOKUP($B246,'Standards Crosswalk'!$A:$H,7,FALSE)</f>
        <v>3.6.3, 3.12.2</v>
      </c>
      <c r="R246" s="72">
        <f>VLOOKUP($B246,'Standards Crosswalk'!$A:$H,8,FALSE)</f>
        <v>0</v>
      </c>
      <c r="S246" s="72">
        <f>VLOOKUP($B246,'Standards Crosswalk'!$A:$I,9,FALSE)</f>
        <v>12.1</v>
      </c>
    </row>
    <row r="247" spans="1:25" ht="31" thickBot="1" x14ac:dyDescent="0.2">
      <c r="A247" s="71">
        <f t="shared" si="6"/>
        <v>245</v>
      </c>
      <c r="B247" s="77" t="s">
        <v>410</v>
      </c>
      <c r="C247" s="78" t="str">
        <f>VLOOKUP(B247,'HECVAT - Full'!A:E,2,FALSE)</f>
        <v>Can you provide a HIPAA compliance attestation document?</v>
      </c>
      <c r="D247" s="71">
        <f>VLOOKUP(B247,'HECVAT - Full'!A:E,4,FALSE)</f>
        <v>0</v>
      </c>
      <c r="E247" s="79" t="b">
        <f>IF(Table1[[#This Row],[Column11]]&gt;20,TRUE,FALSE)</f>
        <v>0</v>
      </c>
      <c r="F247" s="79" t="s">
        <v>561</v>
      </c>
      <c r="G247" s="80" t="s">
        <v>16</v>
      </c>
      <c r="H247" s="81">
        <v>1</v>
      </c>
      <c r="I247" s="71">
        <f>VLOOKUP(B247,'HECVAT - Full'!A:E,3,FALSE)</f>
        <v>0</v>
      </c>
      <c r="J247" s="71">
        <f>IF(Table1[[#This Row],[Column7]]=Table1[[#This Row],[Column9]],1,0)</f>
        <v>0</v>
      </c>
      <c r="K247" s="71">
        <f>IF(Table1[[#This Row],[Column8]]=1,20,"")</f>
        <v>20</v>
      </c>
      <c r="L247" s="71">
        <f>IF(Table1[[#This Row],[Column8]]=1,J247*K247,"")</f>
        <v>0</v>
      </c>
      <c r="M247" s="72" t="str">
        <f>VLOOKUP($B247,'Standards Crosswalk'!$A:$H,3,FALSE)</f>
        <v>CSC 10</v>
      </c>
      <c r="N247" s="72" t="str">
        <f>VLOOKUP($B247,'Standards Crosswalk'!$A:$H,4,FALSE)</f>
        <v>§164.308(b)(2)</v>
      </c>
      <c r="O247" s="72" t="str">
        <f>VLOOKUP($B247,'Standards Crosswalk'!$A:$H,5,FALSE)</f>
        <v>18.1.1</v>
      </c>
      <c r="P247" s="72" t="str">
        <f>VLOOKUP($B247,'Standards Crosswalk'!$A:$H,6,FALSE)</f>
        <v>ID.GV-3</v>
      </c>
      <c r="Q247" s="72">
        <f>VLOOKUP($B247,'Standards Crosswalk'!$A:$H,7,FALSE)</f>
        <v>0</v>
      </c>
      <c r="R247" s="72">
        <f>VLOOKUP($B247,'Standards Crosswalk'!$A:$H,8,FALSE)</f>
        <v>0</v>
      </c>
      <c r="S247" s="72">
        <f>VLOOKUP($B247,'Standards Crosswalk'!$A:$I,9,FALSE)</f>
        <v>10.7</v>
      </c>
    </row>
    <row r="248" spans="1:25" ht="91" thickBot="1" x14ac:dyDescent="0.2">
      <c r="A248" s="71">
        <f t="shared" si="6"/>
        <v>246</v>
      </c>
      <c r="B248" s="77" t="s">
        <v>411</v>
      </c>
      <c r="C248" s="78" t="str">
        <f>VLOOKUP(B248,'HECVAT - Full'!A:E,2,FALSE)</f>
        <v>Are you willing to enter into a Business Associate Agreement (BAA)?</v>
      </c>
      <c r="D248" s="71">
        <f>VLOOKUP(B248,'HECVAT - Full'!A:E,4,FALSE)</f>
        <v>0</v>
      </c>
      <c r="E248" s="79" t="b">
        <f>IF(Table1[[#This Row],[Column11]]&gt;20,TRUE,FALSE)</f>
        <v>0</v>
      </c>
      <c r="F248" s="79" t="s">
        <v>561</v>
      </c>
      <c r="G248" s="80" t="s">
        <v>16</v>
      </c>
      <c r="H248" s="81">
        <v>1</v>
      </c>
      <c r="I248" s="71">
        <f>VLOOKUP(B248,'HECVAT - Full'!A:E,3,FALSE)</f>
        <v>0</v>
      </c>
      <c r="J248" s="71">
        <f>IF(Table1[[#This Row],[Column7]]=Table1[[#This Row],[Column9]],1,0)</f>
        <v>0</v>
      </c>
      <c r="K248" s="71">
        <f>IF(Table1[[#This Row],[Column8]]=1,20,"")</f>
        <v>20</v>
      </c>
      <c r="L248" s="71">
        <f>IF(Table1[[#This Row],[Column8]]=1,J248*K248,"")</f>
        <v>0</v>
      </c>
      <c r="M248" s="72" t="str">
        <f>VLOOKUP($B248,'Standards Crosswalk'!$A:$H,3,FALSE)</f>
        <v>CSC 10</v>
      </c>
      <c r="N248" s="72" t="str">
        <f>VLOOKUP($B248,'Standards Crosswalk'!$A:$H,4,FALSE)</f>
        <v>§164.308(b)(1),
§164.308(b)(3), §164.314(a)(1)(i)</v>
      </c>
      <c r="O248" s="72" t="str">
        <f>VLOOKUP($B248,'Standards Crosswalk'!$A:$H,5,FALSE)</f>
        <v>18.1.1</v>
      </c>
      <c r="P248" s="72" t="str">
        <f>VLOOKUP($B248,'Standards Crosswalk'!$A:$H,6,FALSE)</f>
        <v>ID.GV-3</v>
      </c>
      <c r="Q248" s="72">
        <f>VLOOKUP($B248,'Standards Crosswalk'!$A:$H,7,FALSE)</f>
        <v>0</v>
      </c>
      <c r="R248" s="72">
        <f>VLOOKUP($B248,'Standards Crosswalk'!$A:$H,8,FALSE)</f>
        <v>0</v>
      </c>
      <c r="S248" s="72">
        <f>VLOOKUP($B248,'Standards Crosswalk'!$A:$I,9,FALSE)</f>
        <v>0</v>
      </c>
    </row>
    <row r="249" spans="1:25" ht="121" thickBot="1" x14ac:dyDescent="0.2">
      <c r="A249" s="71">
        <f t="shared" si="6"/>
        <v>247</v>
      </c>
      <c r="B249" s="77" t="s">
        <v>412</v>
      </c>
      <c r="C249" s="78" t="str">
        <f>VLOOKUP(B249,'HECVAT - Full'!A:E,2,FALSE)</f>
        <v>Have you entered into a BAA with all subcontractors who may have access to protected health information (PHI)?</v>
      </c>
      <c r="D249" s="71">
        <f>VLOOKUP(B249,'HECVAT - Full'!A:E,4,FALSE)</f>
        <v>0</v>
      </c>
      <c r="E249" s="79" t="b">
        <f>IF(Table1[[#This Row],[Column11]]&gt;20,TRUE,FALSE)</f>
        <v>0</v>
      </c>
      <c r="F249" s="79" t="s">
        <v>561</v>
      </c>
      <c r="G249" s="80" t="s">
        <v>16</v>
      </c>
      <c r="H249" s="81">
        <v>1</v>
      </c>
      <c r="I249" s="71">
        <f>VLOOKUP(B249,'HECVAT - Full'!A:E,3,FALSE)</f>
        <v>0</v>
      </c>
      <c r="J249" s="71">
        <f>IF(Table1[[#This Row],[Column7]]=Table1[[#This Row],[Column9]],1,0)</f>
        <v>0</v>
      </c>
      <c r="K249" s="71">
        <f>IF(Table1[[#This Row],[Column8]]=1,20,"")</f>
        <v>20</v>
      </c>
      <c r="L249" s="71">
        <f>IF(Table1[[#This Row],[Column8]]=1,J249*K249,"")</f>
        <v>0</v>
      </c>
      <c r="M249" s="72" t="str">
        <f>VLOOKUP($B249,'Standards Crosswalk'!$A:$H,3,FALSE)</f>
        <v>CSC 10</v>
      </c>
      <c r="N249" s="72" t="str">
        <f>VLOOKUP($B249,'Standards Crosswalk'!$A:$H,4,FALSE)</f>
        <v>§164.308(a)(3)(i), §164.308(b)(1), 
§164.308(b)(3), §164.314(a)(1)(i)</v>
      </c>
      <c r="O249" s="72" t="str">
        <f>VLOOKUP($B249,'Standards Crosswalk'!$A:$H,5,FALSE)</f>
        <v>18.1.1</v>
      </c>
      <c r="P249" s="72" t="str">
        <f>VLOOKUP($B249,'Standards Crosswalk'!$A:$H,6,FALSE)</f>
        <v>ID.GV-3</v>
      </c>
      <c r="Q249" s="72">
        <f>VLOOKUP($B249,'Standards Crosswalk'!$A:$H,7,FALSE)</f>
        <v>0</v>
      </c>
      <c r="R249" s="72">
        <f>VLOOKUP($B249,'Standards Crosswalk'!$A:$H,8,FALSE)</f>
        <v>0</v>
      </c>
      <c r="S249" s="72">
        <f>VLOOKUP($B249,'Standards Crosswalk'!$A:$I,9,FALSE)</f>
        <v>12.8</v>
      </c>
    </row>
    <row r="250" spans="1:25" ht="46" thickBot="1" x14ac:dyDescent="0.2">
      <c r="A250" s="71">
        <f t="shared" si="6"/>
        <v>248</v>
      </c>
      <c r="B250" s="77" t="s">
        <v>413</v>
      </c>
      <c r="C250" s="78" t="str">
        <f>VLOOKUP(B250,'HECVAT - Full'!A:E,2,FALSE)</f>
        <v>Do your systems or products store, process, or transmit cardholder (payment/credit/debt card) data?</v>
      </c>
      <c r="D250" s="71">
        <f>VLOOKUP(B250,'HECVAT - Full'!A:E,4,FALSE)</f>
        <v>0</v>
      </c>
      <c r="E250" s="79" t="b">
        <f>IF(Table1[[#This Row],[Column11]]&gt;20,TRUE,FALSE)</f>
        <v>0</v>
      </c>
      <c r="F250" s="86" t="s">
        <v>2044</v>
      </c>
      <c r="G250" s="80" t="s">
        <v>19</v>
      </c>
      <c r="H250" s="81">
        <v>1</v>
      </c>
      <c r="I250" s="71">
        <f>VLOOKUP(B250,'HECVAT - Full'!A:E,3,FALSE)</f>
        <v>0</v>
      </c>
      <c r="J250" s="71">
        <f>IF(Table1[[#This Row],[Column7]]=Table1[[#This Row],[Column9]],1,0)</f>
        <v>0</v>
      </c>
      <c r="K250" s="71">
        <f>IF(Table1[[#This Row],[Column8]]=1,15,"")</f>
        <v>15</v>
      </c>
      <c r="L250" s="71">
        <f>IF(Table1[[#This Row],[Column8]]=1,J250*K250,"")</f>
        <v>0</v>
      </c>
      <c r="M250" s="72" t="str">
        <f>VLOOKUP($B250,'Standards Crosswalk'!$A:$H,3,FALSE)</f>
        <v>CSC 10</v>
      </c>
      <c r="N250" s="72">
        <f>VLOOKUP($B250,'Standards Crosswalk'!$A:$H,4,FALSE)</f>
        <v>0</v>
      </c>
      <c r="O250" s="72" t="str">
        <f>VLOOKUP($B250,'Standards Crosswalk'!$A:$H,5,FALSE)</f>
        <v>18.1.1</v>
      </c>
      <c r="P250" s="72" t="str">
        <f>VLOOKUP($B250,'Standards Crosswalk'!$A:$H,6,FALSE)</f>
        <v>ID.GV-3</v>
      </c>
      <c r="Q250" s="72">
        <f>VLOOKUP($B250,'Standards Crosswalk'!$A:$H,7,FALSE)</f>
        <v>0</v>
      </c>
      <c r="R250" s="72">
        <f>VLOOKUP($B250,'Standards Crosswalk'!$A:$H,8,FALSE)</f>
        <v>0</v>
      </c>
      <c r="S250" s="72">
        <f>VLOOKUP($B250,'Standards Crosswalk'!$A:$I,9,FALSE)</f>
        <v>12.8</v>
      </c>
    </row>
    <row r="251" spans="1:25" ht="46" thickBot="1" x14ac:dyDescent="0.2">
      <c r="A251" s="71">
        <f t="shared" si="6"/>
        <v>249</v>
      </c>
      <c r="B251" s="77" t="s">
        <v>414</v>
      </c>
      <c r="C251" s="78" t="str">
        <f>VLOOKUP(B251,'HECVAT - Full'!A:E,2,FALSE)</f>
        <v>Are you compliant with the Payment Card Industry Data Security Standard (PCI DSS)?</v>
      </c>
      <c r="D251" s="71">
        <f>VLOOKUP(B251,'HECVAT - Full'!A:E,4,FALSE)</f>
        <v>0</v>
      </c>
      <c r="E251" s="79" t="b">
        <f>IF(Table1[[#This Row],[Column11]]&gt;20,TRUE,FALSE)</f>
        <v>0</v>
      </c>
      <c r="F251" s="86" t="s">
        <v>2044</v>
      </c>
      <c r="G251" s="80" t="s">
        <v>16</v>
      </c>
      <c r="H251" s="81">
        <v>1</v>
      </c>
      <c r="I251" s="71">
        <f>VLOOKUP(B251,'HECVAT - Full'!A:E,3,FALSE)</f>
        <v>0</v>
      </c>
      <c r="J251" s="71">
        <f>IF(Table1[[#This Row],[Column7]]=Table1[[#This Row],[Column9]],1,0)</f>
        <v>0</v>
      </c>
      <c r="K251" s="71">
        <f>IF(Table1[[#This Row],[Column8]]=1,20,"")</f>
        <v>20</v>
      </c>
      <c r="L251" s="71">
        <f>IF(Table1[[#This Row],[Column8]]=1,J251*K251,"")</f>
        <v>0</v>
      </c>
      <c r="M251" s="72" t="str">
        <f>VLOOKUP($B251,'Standards Crosswalk'!$A:$H,3,FALSE)</f>
        <v>CSC 10</v>
      </c>
      <c r="N251" s="72">
        <f>VLOOKUP($B251,'Standards Crosswalk'!$A:$H,4,FALSE)</f>
        <v>0</v>
      </c>
      <c r="O251" s="72" t="str">
        <f>VLOOKUP($B251,'Standards Crosswalk'!$A:$H,5,FALSE)</f>
        <v>18.1.1</v>
      </c>
      <c r="P251" s="72" t="str">
        <f>VLOOKUP($B251,'Standards Crosswalk'!$A:$H,6,FALSE)</f>
        <v>ID.GV-3</v>
      </c>
      <c r="Q251" s="72">
        <f>VLOOKUP($B251,'Standards Crosswalk'!$A:$H,7,FALSE)</f>
        <v>0</v>
      </c>
      <c r="R251" s="72">
        <f>VLOOKUP($B251,'Standards Crosswalk'!$A:$H,8,FALSE)</f>
        <v>0</v>
      </c>
      <c r="S251" s="72">
        <f>VLOOKUP($B251,'Standards Crosswalk'!$A:$I,9,FALSE)</f>
        <v>12.8</v>
      </c>
    </row>
    <row r="252" spans="1:25" ht="61" thickBot="1" x14ac:dyDescent="0.2">
      <c r="A252" s="71">
        <f t="shared" si="6"/>
        <v>250</v>
      </c>
      <c r="B252" s="77" t="s">
        <v>415</v>
      </c>
      <c r="C252" s="78" t="str">
        <f>VLOOKUP(B252,'HECVAT - Full'!A:E,2,FALSE)</f>
        <v>Do you have a current, executed within the past year, Attestation of Compliance (AoC) or Report on Compliance (RoC)?</v>
      </c>
      <c r="D252" s="71">
        <f>VLOOKUP(B252,'HECVAT - Full'!A:E,4,FALSE)</f>
        <v>0</v>
      </c>
      <c r="E252" s="79" t="b">
        <f>IF(Table1[[#This Row],[Column11]]&gt;20,TRUE,FALSE)</f>
        <v>1</v>
      </c>
      <c r="F252" s="86" t="s">
        <v>2044</v>
      </c>
      <c r="G252" s="80" t="s">
        <v>16</v>
      </c>
      <c r="H252" s="81">
        <v>1</v>
      </c>
      <c r="I252" s="71">
        <f>VLOOKUP(B252,'HECVAT - Full'!A:E,3,FALSE)</f>
        <v>0</v>
      </c>
      <c r="J252" s="71">
        <f>IF(Table1[[#This Row],[Column7]]=Table1[[#This Row],[Column9]],1,0)</f>
        <v>0</v>
      </c>
      <c r="K252" s="71">
        <f>IF(Table1[[#This Row],[Column8]]=1,25,"")</f>
        <v>25</v>
      </c>
      <c r="L252" s="71">
        <f>IF(Table1[[#This Row],[Column8]]=1,J252*K252,"")</f>
        <v>0</v>
      </c>
      <c r="M252" s="72" t="str">
        <f>VLOOKUP($B252,'Standards Crosswalk'!$A:$H,3,FALSE)</f>
        <v>CSC 10</v>
      </c>
      <c r="N252" s="72">
        <f>VLOOKUP($B252,'Standards Crosswalk'!$A:$H,4,FALSE)</f>
        <v>0</v>
      </c>
      <c r="O252" s="72" t="str">
        <f>VLOOKUP($B252,'Standards Crosswalk'!$A:$H,5,FALSE)</f>
        <v>18.1.1</v>
      </c>
      <c r="P252" s="72" t="str">
        <f>VLOOKUP($B252,'Standards Crosswalk'!$A:$H,6,FALSE)</f>
        <v>ID.GV-3</v>
      </c>
      <c r="Q252" s="72">
        <f>VLOOKUP($B252,'Standards Crosswalk'!$A:$H,7,FALSE)</f>
        <v>0</v>
      </c>
      <c r="R252" s="72">
        <f>VLOOKUP($B252,'Standards Crosswalk'!$A:$H,8,FALSE)</f>
        <v>0</v>
      </c>
      <c r="S252" s="72">
        <f>VLOOKUP($B252,'Standards Crosswalk'!$A:$I,9,FALSE)</f>
        <v>12.8</v>
      </c>
    </row>
    <row r="253" spans="1:25" ht="31" thickBot="1" x14ac:dyDescent="0.2">
      <c r="A253" s="71">
        <f t="shared" si="6"/>
        <v>251</v>
      </c>
      <c r="B253" s="77" t="s">
        <v>416</v>
      </c>
      <c r="C253" s="78" t="str">
        <f>VLOOKUP(B253,'HECVAT - Full'!A:E,2,FALSE)</f>
        <v>Are you classified as a service provider?</v>
      </c>
      <c r="D253" s="71">
        <f>VLOOKUP(B253,'HECVAT - Full'!A:E,4,FALSE)</f>
        <v>0</v>
      </c>
      <c r="E253" s="79" t="b">
        <f>IF(Table1[[#This Row],[Column11]]&gt;20,TRUE,FALSE)</f>
        <v>0</v>
      </c>
      <c r="F253" s="86" t="s">
        <v>2044</v>
      </c>
      <c r="G253" s="80" t="s">
        <v>16</v>
      </c>
      <c r="H253" s="81">
        <v>1</v>
      </c>
      <c r="I253" s="71">
        <f>VLOOKUP(B253,'HECVAT - Full'!A:E,3,FALSE)</f>
        <v>0</v>
      </c>
      <c r="J253" s="71">
        <f>IF(Table1[[#This Row],[Column7]]=Table1[[#This Row],[Column9]],1,0)</f>
        <v>0</v>
      </c>
      <c r="K253" s="71">
        <f>IF(Table1[[#This Row],[Column8]]=1,20,"")</f>
        <v>20</v>
      </c>
      <c r="L253" s="71">
        <f>IF(Table1[[#This Row],[Column8]]=1,J253*K253,"")</f>
        <v>0</v>
      </c>
      <c r="M253" s="72">
        <f>VLOOKUP($B253,'Standards Crosswalk'!$A:$H,3,FALSE)</f>
        <v>0</v>
      </c>
      <c r="N253" s="72">
        <f>VLOOKUP($B253,'Standards Crosswalk'!$A:$H,4,FALSE)</f>
        <v>0</v>
      </c>
      <c r="O253" s="72">
        <f>VLOOKUP($B253,'Standards Crosswalk'!$A:$H,5,FALSE)</f>
        <v>0</v>
      </c>
      <c r="P253" s="72" t="str">
        <f>VLOOKUP($B253,'Standards Crosswalk'!$A:$H,6,FALSE)</f>
        <v>ID.GV-3</v>
      </c>
      <c r="Q253" s="72">
        <f>VLOOKUP($B253,'Standards Crosswalk'!$A:$H,7,FALSE)</f>
        <v>0</v>
      </c>
      <c r="R253" s="72">
        <f>VLOOKUP($B253,'Standards Crosswalk'!$A:$H,8,FALSE)</f>
        <v>0</v>
      </c>
      <c r="S253" s="72">
        <f>VLOOKUP($B253,'Standards Crosswalk'!$A:$I,9,FALSE)</f>
        <v>12.8</v>
      </c>
    </row>
    <row r="254" spans="1:25" ht="31" thickBot="1" x14ac:dyDescent="0.2">
      <c r="A254" s="71">
        <f t="shared" si="6"/>
        <v>252</v>
      </c>
      <c r="B254" s="77" t="s">
        <v>417</v>
      </c>
      <c r="C254" s="78" t="str">
        <f>VLOOKUP(B254,'HECVAT - Full'!A:E,2,FALSE)</f>
        <v xml:space="preserve">Are you on the list of VISA approved service providers? </v>
      </c>
      <c r="D254" s="71">
        <f>VLOOKUP(B254,'HECVAT - Full'!A:E,4,FALSE)</f>
        <v>0</v>
      </c>
      <c r="E254" s="79" t="b">
        <f>IF(Table1[[#This Row],[Column11]]&gt;20,TRUE,FALSE)</f>
        <v>0</v>
      </c>
      <c r="F254" s="86" t="s">
        <v>2044</v>
      </c>
      <c r="G254" s="80" t="s">
        <v>16</v>
      </c>
      <c r="H254" s="81">
        <v>1</v>
      </c>
      <c r="I254" s="71">
        <f>VLOOKUP(B254,'HECVAT - Full'!A:E,3,FALSE)</f>
        <v>0</v>
      </c>
      <c r="J254" s="71">
        <f>IF(Table1[[#This Row],[Column7]]=Table1[[#This Row],[Column9]],1,0)</f>
        <v>0</v>
      </c>
      <c r="K254" s="71">
        <f>IF(Table1[[#This Row],[Column8]]=1,20,"")</f>
        <v>20</v>
      </c>
      <c r="L254" s="71">
        <f>IF(Table1[[#This Row],[Column8]]=1,J254*K254,"")</f>
        <v>0</v>
      </c>
      <c r="M254" s="72">
        <f>VLOOKUP($B254,'Standards Crosswalk'!$A:$H,3,FALSE)</f>
        <v>0</v>
      </c>
      <c r="N254" s="72">
        <f>VLOOKUP($B254,'Standards Crosswalk'!$A:$H,4,FALSE)</f>
        <v>0</v>
      </c>
      <c r="O254" s="72">
        <f>VLOOKUP($B254,'Standards Crosswalk'!$A:$H,5,FALSE)</f>
        <v>0</v>
      </c>
      <c r="P254" s="72" t="str">
        <f>VLOOKUP($B254,'Standards Crosswalk'!$A:$H,6,FALSE)</f>
        <v>ID.GV-3</v>
      </c>
      <c r="Q254" s="72">
        <f>VLOOKUP($B254,'Standards Crosswalk'!$A:$H,7,FALSE)</f>
        <v>0</v>
      </c>
      <c r="R254" s="72">
        <f>VLOOKUP($B254,'Standards Crosswalk'!$A:$H,8,FALSE)</f>
        <v>0</v>
      </c>
      <c r="S254" s="72">
        <f>VLOOKUP($B254,'Standards Crosswalk'!$A:$I,9,FALSE)</f>
        <v>12.8</v>
      </c>
    </row>
    <row r="255" spans="1:25" ht="31" thickBot="1" x14ac:dyDescent="0.2">
      <c r="A255" s="71">
        <f t="shared" si="6"/>
        <v>253</v>
      </c>
      <c r="B255" s="77" t="s">
        <v>418</v>
      </c>
      <c r="C255" s="96" t="str">
        <f>VLOOKUP(B255,'HECVAT - Full'!A:E,2,FALSE)</f>
        <v>Are you classified as a merchant?  If so, what level (1, 2, 3, 4)?</v>
      </c>
      <c r="D255" s="94">
        <f>VLOOKUP(B255,'HECVAT - Full'!A:E,4,FALSE)</f>
        <v>0</v>
      </c>
      <c r="E255" s="79" t="b">
        <f>IF(Table1[[#This Row],[Column11]]&gt;20,TRUE,FALSE)</f>
        <v>1</v>
      </c>
      <c r="F255" s="86" t="s">
        <v>2044</v>
      </c>
      <c r="G255" s="80" t="s">
        <v>16</v>
      </c>
      <c r="H255" s="81">
        <v>1</v>
      </c>
      <c r="I255" s="94">
        <f>VLOOKUP(B255,'HECVAT - Full'!A:E,3,FALSE)</f>
        <v>0</v>
      </c>
      <c r="J255" s="71">
        <f>IF(VLOOKUP(Table1[[#This Row],[Column2]],'Analyst Report'!$A$41:$G$88,7,FALSE)="Yes",1,0)</f>
        <v>0</v>
      </c>
      <c r="K255" s="71">
        <f>IF(Table1[[#This Row],[Column8]]=1,25,"")</f>
        <v>25</v>
      </c>
      <c r="L255" s="71">
        <f>IF(Table1[[#This Row],[Column8]]=1,J255*K255,"")</f>
        <v>0</v>
      </c>
      <c r="M255" s="100">
        <f>VLOOKUP($B255,'Standards Crosswalk'!$A:$H,3,FALSE)</f>
        <v>0</v>
      </c>
      <c r="N255" s="100">
        <f>VLOOKUP($B255,'Standards Crosswalk'!$A:$H,4,FALSE)</f>
        <v>0</v>
      </c>
      <c r="O255" s="100">
        <f>VLOOKUP($B255,'Standards Crosswalk'!$A:$H,5,FALSE)</f>
        <v>0</v>
      </c>
      <c r="P255" s="100" t="str">
        <f>VLOOKUP($B255,'Standards Crosswalk'!$A:$H,6,FALSE)</f>
        <v>ID.GV-3</v>
      </c>
      <c r="Q255" s="100">
        <f>VLOOKUP($B255,'Standards Crosswalk'!$A:$H,7,FALSE)</f>
        <v>0</v>
      </c>
      <c r="R255" s="100">
        <f>VLOOKUP($B255,'Standards Crosswalk'!$A:$H,8,FALSE)</f>
        <v>0</v>
      </c>
      <c r="S255" s="72">
        <f>VLOOKUP($B255,'Standards Crosswalk'!$A:$I,9,FALSE)</f>
        <v>12.8</v>
      </c>
      <c r="T255" s="94"/>
      <c r="U255" s="94"/>
      <c r="V255" s="94"/>
      <c r="W255" s="94"/>
      <c r="X255" s="94"/>
      <c r="Y255" s="94"/>
    </row>
    <row r="256" spans="1:25" ht="46" thickBot="1" x14ac:dyDescent="0.2">
      <c r="A256" s="71">
        <f t="shared" si="6"/>
        <v>254</v>
      </c>
      <c r="B256" s="77" t="s">
        <v>419</v>
      </c>
      <c r="C256" s="96" t="str">
        <f>VLOOKUP(B256,'HECVAT - Full'!A:E,2,FALSE)</f>
        <v>Describe the architecture employed by the system to verify and authorize credit card transactions.</v>
      </c>
      <c r="D256" s="94">
        <f>VLOOKUP(B256,'HECVAT - Full'!A:E,4,FALSE)</f>
        <v>0</v>
      </c>
      <c r="E256" s="79" t="b">
        <f>IF(Table1[[#This Row],[Column11]]&gt;20,TRUE,FALSE)</f>
        <v>0</v>
      </c>
      <c r="F256" s="86" t="s">
        <v>2044</v>
      </c>
      <c r="G256" s="80" t="s">
        <v>16</v>
      </c>
      <c r="H256" s="81">
        <v>1</v>
      </c>
      <c r="I256" s="94">
        <f>VLOOKUP(B256,'HECVAT - Full'!A:E,3,FALSE)</f>
        <v>0</v>
      </c>
      <c r="J256" s="71">
        <f>IF(VLOOKUP(Table1[[#This Row],[Column2]],'Analyst Report'!$A$41:$G$88,7,FALSE)="Yes",1,0)</f>
        <v>0</v>
      </c>
      <c r="K256" s="71">
        <f>IF(Table1[[#This Row],[Column8]]=1,20,"")</f>
        <v>20</v>
      </c>
      <c r="L256" s="71">
        <f>IF(Table1[[#This Row],[Column8]]=1,J256*K256,"")</f>
        <v>0</v>
      </c>
      <c r="M256" s="100" t="str">
        <f>VLOOKUP($B256,'Standards Crosswalk'!$A:$H,3,FALSE)</f>
        <v>CSC 1, CSC 2</v>
      </c>
      <c r="N256" s="100">
        <f>VLOOKUP($B256,'Standards Crosswalk'!$A:$H,4,FALSE)</f>
        <v>0</v>
      </c>
      <c r="O256" s="100">
        <f>VLOOKUP($B256,'Standards Crosswalk'!$A:$H,5,FALSE)</f>
        <v>0</v>
      </c>
      <c r="P256" s="100" t="str">
        <f>VLOOKUP($B256,'Standards Crosswalk'!$A:$H,6,FALSE)</f>
        <v>ID.GV-3</v>
      </c>
      <c r="Q256" s="100">
        <f>VLOOKUP($B256,'Standards Crosswalk'!$A:$H,7,FALSE)</f>
        <v>0</v>
      </c>
      <c r="R256" s="100">
        <f>VLOOKUP($B256,'Standards Crosswalk'!$A:$H,8,FALSE)</f>
        <v>0</v>
      </c>
      <c r="S256" s="72" t="str">
        <f>VLOOKUP($B256,'Standards Crosswalk'!$A:$I,9,FALSE)</f>
        <v>PCI Scope</v>
      </c>
      <c r="T256" s="94"/>
      <c r="U256" s="94"/>
      <c r="V256" s="94"/>
      <c r="W256" s="94"/>
      <c r="X256" s="94"/>
      <c r="Y256" s="94"/>
    </row>
    <row r="257" spans="1:25" ht="31" thickBot="1" x14ac:dyDescent="0.2">
      <c r="A257" s="71">
        <f t="shared" si="6"/>
        <v>255</v>
      </c>
      <c r="B257" s="77" t="s">
        <v>420</v>
      </c>
      <c r="C257" s="96" t="str">
        <f>VLOOKUP(B257,'HECVAT - Full'!A:E,2,FALSE)</f>
        <v xml:space="preserve">What payment processors/gateways does the system support? </v>
      </c>
      <c r="D257" s="94">
        <f>VLOOKUP(B257,'HECVAT - Full'!A:E,4,FALSE)</f>
        <v>0</v>
      </c>
      <c r="E257" s="79" t="b">
        <f>IF(Table1[[#This Row],[Column11]]&gt;20,TRUE,FALSE)</f>
        <v>0</v>
      </c>
      <c r="F257" s="86" t="s">
        <v>2044</v>
      </c>
      <c r="G257" s="80" t="s">
        <v>16</v>
      </c>
      <c r="H257" s="81">
        <v>1</v>
      </c>
      <c r="I257" s="94">
        <f>VLOOKUP(B257,'HECVAT - Full'!A:E,3,FALSE)</f>
        <v>0</v>
      </c>
      <c r="J257" s="71">
        <f>IF(VLOOKUP(Table1[[#This Row],[Column2]],'Analyst Report'!$A$41:$G$88,7,FALSE)="Yes",1,0)</f>
        <v>0</v>
      </c>
      <c r="K257" s="71">
        <f>IF(Table1[[#This Row],[Column8]]=1,20,"")</f>
        <v>20</v>
      </c>
      <c r="L257" s="71">
        <f>IF(Table1[[#This Row],[Column8]]=1,J257*K257,"")</f>
        <v>0</v>
      </c>
      <c r="M257" s="100" t="str">
        <f>VLOOKUP($B257,'Standards Crosswalk'!$A:$H,3,FALSE)</f>
        <v>CSC 18</v>
      </c>
      <c r="N257" s="100">
        <f>VLOOKUP($B257,'Standards Crosswalk'!$A:$H,4,FALSE)</f>
        <v>0</v>
      </c>
      <c r="O257" s="100">
        <f>VLOOKUP($B257,'Standards Crosswalk'!$A:$H,5,FALSE)</f>
        <v>0</v>
      </c>
      <c r="P257" s="100" t="str">
        <f>VLOOKUP($B257,'Standards Crosswalk'!$A:$H,6,FALSE)</f>
        <v>ID.GV-3</v>
      </c>
      <c r="Q257" s="100">
        <f>VLOOKUP($B257,'Standards Crosswalk'!$A:$H,7,FALSE)</f>
        <v>0</v>
      </c>
      <c r="R257" s="100">
        <f>VLOOKUP($B257,'Standards Crosswalk'!$A:$H,8,FALSE)</f>
        <v>0</v>
      </c>
      <c r="S257" s="72">
        <f>VLOOKUP($B257,'Standards Crosswalk'!$A:$I,9,FALSE)</f>
        <v>12.8</v>
      </c>
      <c r="T257" s="94"/>
      <c r="U257" s="94"/>
      <c r="V257" s="94"/>
      <c r="W257" s="94"/>
      <c r="X257" s="94"/>
      <c r="Y257" s="94"/>
    </row>
    <row r="258" spans="1:25" ht="31" thickBot="1" x14ac:dyDescent="0.2">
      <c r="A258" s="71">
        <f t="shared" si="6"/>
        <v>256</v>
      </c>
      <c r="B258" s="77" t="s">
        <v>421</v>
      </c>
      <c r="C258" s="78" t="str">
        <f>VLOOKUP(B258,'HECVAT - Full'!A:E,2,FALSE)</f>
        <v>Can the application be installed in a PCI DSS compliant manner ?</v>
      </c>
      <c r="D258" s="71">
        <f>VLOOKUP(B258,'HECVAT - Full'!A:E,4,FALSE)</f>
        <v>0</v>
      </c>
      <c r="E258" s="79" t="b">
        <f>IF(Table1[[#This Row],[Column11]]&gt;20,TRUE,FALSE)</f>
        <v>1</v>
      </c>
      <c r="F258" s="86" t="s">
        <v>2044</v>
      </c>
      <c r="G258" s="80" t="s">
        <v>16</v>
      </c>
      <c r="H258" s="81">
        <v>1</v>
      </c>
      <c r="I258" s="71">
        <f>VLOOKUP(B258,'HECVAT - Full'!A:E,3,FALSE)</f>
        <v>0</v>
      </c>
      <c r="J258" s="71">
        <f>IF(Table1[[#This Row],[Column7]]=Table1[[#This Row],[Column9]],1,0)</f>
        <v>0</v>
      </c>
      <c r="K258" s="71">
        <f>IF(Table1[[#This Row],[Column8]]=1,25,"")</f>
        <v>25</v>
      </c>
      <c r="L258" s="71">
        <f>IF(Table1[[#This Row],[Column8]]=1,J258*K258,"")</f>
        <v>0</v>
      </c>
      <c r="M258" s="72" t="str">
        <f>VLOOKUP($B258,'Standards Crosswalk'!$A:$H,3,FALSE)</f>
        <v>CSC 10</v>
      </c>
      <c r="N258" s="72">
        <f>VLOOKUP($B258,'Standards Crosswalk'!$A:$H,4,FALSE)</f>
        <v>0</v>
      </c>
      <c r="O258" s="72">
        <f>VLOOKUP($B258,'Standards Crosswalk'!$A:$H,5,FALSE)</f>
        <v>0</v>
      </c>
      <c r="P258" s="72" t="str">
        <f>VLOOKUP($B258,'Standards Crosswalk'!$A:$H,6,FALSE)</f>
        <v>ID.GV-3</v>
      </c>
      <c r="Q258" s="72">
        <f>VLOOKUP($B258,'Standards Crosswalk'!$A:$H,7,FALSE)</f>
        <v>0</v>
      </c>
      <c r="R258" s="72">
        <f>VLOOKUP($B258,'Standards Crosswalk'!$A:$H,8,FALSE)</f>
        <v>0</v>
      </c>
      <c r="S258" s="72">
        <f>VLOOKUP($B258,'Standards Crosswalk'!$A:$I,9,FALSE)</f>
        <v>12.8</v>
      </c>
    </row>
    <row r="259" spans="1:25" ht="31" thickBot="1" x14ac:dyDescent="0.2">
      <c r="A259" s="71">
        <f t="shared" si="6"/>
        <v>257</v>
      </c>
      <c r="B259" s="77" t="s">
        <v>422</v>
      </c>
      <c r="C259" s="78" t="str">
        <f>VLOOKUP(B259,'HECVAT - Full'!A:E,2,FALSE)</f>
        <v xml:space="preserve">Is the application listed as an approved PA-DSS application? </v>
      </c>
      <c r="D259" s="71">
        <f>VLOOKUP(B259,'HECVAT - Full'!A:E,4,FALSE)</f>
        <v>0</v>
      </c>
      <c r="E259" s="79" t="b">
        <f>IF(Table1[[#This Row],[Column11]]&gt;20,TRUE,FALSE)</f>
        <v>0</v>
      </c>
      <c r="F259" s="86" t="s">
        <v>2044</v>
      </c>
      <c r="G259" s="80" t="s">
        <v>16</v>
      </c>
      <c r="H259" s="81">
        <v>1</v>
      </c>
      <c r="I259" s="71">
        <f>VLOOKUP(B259,'HECVAT - Full'!A:E,3,FALSE)</f>
        <v>0</v>
      </c>
      <c r="J259" s="71">
        <f>IF(Table1[[#This Row],[Column7]]=Table1[[#This Row],[Column9]],1,0)</f>
        <v>0</v>
      </c>
      <c r="K259" s="71">
        <f>IF(Table1[[#This Row],[Column8]]=1,20,"")</f>
        <v>20</v>
      </c>
      <c r="L259" s="71">
        <f>IF(Table1[[#This Row],[Column8]]=1,J259*K259,"")</f>
        <v>0</v>
      </c>
      <c r="M259" s="72">
        <f>VLOOKUP($B259,'Standards Crosswalk'!$A:$H,3,FALSE)</f>
        <v>0</v>
      </c>
      <c r="N259" s="72">
        <f>VLOOKUP($B259,'Standards Crosswalk'!$A:$H,4,FALSE)</f>
        <v>0</v>
      </c>
      <c r="O259" s="72">
        <f>VLOOKUP($B259,'Standards Crosswalk'!$A:$H,5,FALSE)</f>
        <v>0</v>
      </c>
      <c r="P259" s="72" t="str">
        <f>VLOOKUP($B259,'Standards Crosswalk'!$A:$H,6,FALSE)</f>
        <v>ID.GV-3</v>
      </c>
      <c r="Q259" s="72">
        <f>VLOOKUP($B259,'Standards Crosswalk'!$A:$H,7,FALSE)</f>
        <v>0</v>
      </c>
      <c r="R259" s="72">
        <f>VLOOKUP($B259,'Standards Crosswalk'!$A:$H,8,FALSE)</f>
        <v>0</v>
      </c>
      <c r="S259" s="72">
        <f>VLOOKUP($B259,'Standards Crosswalk'!$A:$I,9,FALSE)</f>
        <v>12.8</v>
      </c>
    </row>
    <row r="260" spans="1:25" ht="61" thickBot="1" x14ac:dyDescent="0.2">
      <c r="A260" s="71">
        <f t="shared" ref="A260:A268" si="7">A259+1</f>
        <v>258</v>
      </c>
      <c r="B260" s="77" t="s">
        <v>423</v>
      </c>
      <c r="C260" s="78" t="str">
        <f>VLOOKUP(B260,'HECVAT - Full'!A:E,2,FALSE)</f>
        <v>Does the system or products use a third party to collect, store, process, or transmit cardholder (payment/credit/debt card) data?</v>
      </c>
      <c r="D260" s="71">
        <f>VLOOKUP(B260,'HECVAT - Full'!A:E,4,FALSE)</f>
        <v>0</v>
      </c>
      <c r="E260" s="79" t="b">
        <f>IF(Table1[[#This Row],[Column11]]&gt;20,TRUE,FALSE)</f>
        <v>0</v>
      </c>
      <c r="F260" s="86" t="s">
        <v>2044</v>
      </c>
      <c r="G260" s="80" t="s">
        <v>19</v>
      </c>
      <c r="H260" s="81">
        <v>1</v>
      </c>
      <c r="I260" s="71">
        <f>VLOOKUP(B260,'HECVAT - Full'!A:E,3,FALSE)</f>
        <v>0</v>
      </c>
      <c r="J260" s="71">
        <f>IF(Table1[[#This Row],[Column7]]=Table1[[#This Row],[Column9]],1,0)</f>
        <v>0</v>
      </c>
      <c r="K260" s="71">
        <f>IF(Table1[[#This Row],[Column8]]=1,20,"")</f>
        <v>20</v>
      </c>
      <c r="L260" s="71">
        <f>IF(Table1[[#This Row],[Column8]]=1,J260*K260,"")</f>
        <v>0</v>
      </c>
      <c r="M260" s="72" t="str">
        <f>VLOOKUP($B260,'Standards Crosswalk'!$A:$H,3,FALSE)</f>
        <v>CSC 12, CSC 13</v>
      </c>
      <c r="N260" s="72">
        <f>VLOOKUP($B260,'Standards Crosswalk'!$A:$H,4,FALSE)</f>
        <v>0</v>
      </c>
      <c r="O260" s="72">
        <f>VLOOKUP($B260,'Standards Crosswalk'!$A:$H,5,FALSE)</f>
        <v>0</v>
      </c>
      <c r="P260" s="72" t="str">
        <f>VLOOKUP($B260,'Standards Crosswalk'!$A:$H,6,FALSE)</f>
        <v>ID.GV-3</v>
      </c>
      <c r="Q260" s="72">
        <f>VLOOKUP($B260,'Standards Crosswalk'!$A:$H,7,FALSE)</f>
        <v>0</v>
      </c>
      <c r="R260" s="72">
        <f>VLOOKUP($B260,'Standards Crosswalk'!$A:$H,8,FALSE)</f>
        <v>0</v>
      </c>
      <c r="S260" s="72">
        <f>VLOOKUP($B260,'Standards Crosswalk'!$A:$I,9,FALSE)</f>
        <v>12.8</v>
      </c>
    </row>
    <row r="261" spans="1:25" ht="106" thickBot="1" x14ac:dyDescent="0.2">
      <c r="A261" s="71">
        <f t="shared" si="7"/>
        <v>259</v>
      </c>
      <c r="B261" s="77" t="s">
        <v>424</v>
      </c>
      <c r="C261" s="78"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71">
        <f>VLOOKUP(B261,'HECVAT - Full'!A:E,4,FALSE)</f>
        <v>0</v>
      </c>
      <c r="E261" s="79" t="b">
        <f>IF(Table1[[#This Row],[Column11]]&gt;20,TRUE,FALSE)</f>
        <v>0</v>
      </c>
      <c r="F261" s="86" t="s">
        <v>2044</v>
      </c>
      <c r="G261" s="80" t="s">
        <v>19</v>
      </c>
      <c r="H261" s="81">
        <v>1</v>
      </c>
      <c r="I261" s="71">
        <f>VLOOKUP(B261,'HECVAT - Full'!A:E,3,FALSE)</f>
        <v>0</v>
      </c>
      <c r="J261" s="71">
        <f>IF(VLOOKUP(Table1[[#This Row],[Column2]],'Analyst Report'!$A$41:$G$88,7,FALSE)="Yes",1,0)</f>
        <v>0</v>
      </c>
      <c r="K261" s="71">
        <f>IF(Table1[[#This Row],[Column8]]=1,20,"")</f>
        <v>20</v>
      </c>
      <c r="L261" s="71">
        <f>IF(Table1[[#This Row],[Column8]]=1,J261*K261,"")</f>
        <v>0</v>
      </c>
      <c r="M261" s="72" t="str">
        <f>VLOOKUP($B261,'Standards Crosswalk'!$A:$H,3,FALSE)</f>
        <v>CSC 10</v>
      </c>
      <c r="N261" s="72">
        <f>VLOOKUP($B261,'Standards Crosswalk'!$A:$H,4,FALSE)</f>
        <v>0</v>
      </c>
      <c r="O261" s="72">
        <f>VLOOKUP($B261,'Standards Crosswalk'!$A:$H,5,FALSE)</f>
        <v>0</v>
      </c>
      <c r="P261" s="72" t="str">
        <f>VLOOKUP($B261,'Standards Crosswalk'!$A:$H,6,FALSE)</f>
        <v>ID.GV-3</v>
      </c>
      <c r="Q261" s="72">
        <f>VLOOKUP($B261,'Standards Crosswalk'!$A:$H,7,FALSE)</f>
        <v>0</v>
      </c>
      <c r="R261" s="72">
        <f>VLOOKUP($B261,'Standards Crosswalk'!$A:$H,8,FALSE)</f>
        <v>0</v>
      </c>
      <c r="S261" s="72">
        <f>VLOOKUP($B261,'Standards Crosswalk'!$A:$I,9,FALSE)</f>
        <v>12.8</v>
      </c>
    </row>
    <row r="262" spans="1:25" ht="409.6" thickBot="1" x14ac:dyDescent="0.2">
      <c r="A262" s="71">
        <f t="shared" si="7"/>
        <v>260</v>
      </c>
      <c r="B262" s="125" t="s">
        <v>176</v>
      </c>
      <c r="C262" s="126" t="str">
        <f>VLOOKUP(B262,'HECVAT - Full'!A:E,2,FALSE)</f>
        <v>Describe your organization’s business background and ownership structure, including all parent and subsidiary relationships.</v>
      </c>
      <c r="D262" s="124">
        <f>VLOOKUP(B262,'HECVAT - Full'!A:E,4,FALSE)</f>
        <v>0</v>
      </c>
      <c r="E262" s="127" t="b">
        <f>IF(Table1[[#This Row],[Column11]]&gt;20,TRUE,FALSE)</f>
        <v>0</v>
      </c>
      <c r="F262" s="128" t="s">
        <v>2555</v>
      </c>
      <c r="G262" s="129"/>
      <c r="H262" s="130">
        <v>1</v>
      </c>
      <c r="I262" s="124" t="str">
        <f>VLOOKUP(B262,'HECVAT - Full'!A:E,3,FALSE)</f>
        <v xml:space="preserve">Entity is Hit Labs, Inc., a venture-backed Delaware corporation based in American Fork, Utah. Ownership is divided among founders, employees, and venture capital firms and individual investors. </v>
      </c>
      <c r="J262" s="124">
        <f>IF(VLOOKUP(Table1[[#This Row],[Column2]],'Analyst Report'!$A$38:$G$88,7,FALSE)="Yes",1,0)</f>
        <v>0</v>
      </c>
      <c r="K262" s="124">
        <f>IF(Table1[[#This Row],[Column8]]=1,10,"")</f>
        <v>10</v>
      </c>
      <c r="L262" s="71">
        <f>IF(Table1[[#This Row],[Column8]]=1,J262*K262,"")</f>
        <v>0</v>
      </c>
      <c r="M262" s="131">
        <f>VLOOKUP($B262,'Standards Crosswalk'!$A:$H,3,FALSE)</f>
        <v>0</v>
      </c>
      <c r="N262" s="131">
        <f>VLOOKUP($B262,'Standards Crosswalk'!$A:$H,4,FALSE)</f>
        <v>0</v>
      </c>
      <c r="O262" s="131">
        <f>VLOOKUP($B262,'Standards Crosswalk'!$A:$H,5,FALSE)</f>
        <v>0</v>
      </c>
      <c r="P262" s="131">
        <f>VLOOKUP($B262,'Standards Crosswalk'!$A:$H,6,FALSE)</f>
        <v>0</v>
      </c>
      <c r="Q262" s="131">
        <f>VLOOKUP($B262,'Standards Crosswalk'!$A:$H,7,FALSE)</f>
        <v>0</v>
      </c>
      <c r="R262" s="131">
        <f>VLOOKUP($B262,'Standards Crosswalk'!$A:$H,8,FALSE)</f>
        <v>0</v>
      </c>
      <c r="S262" s="131">
        <f>VLOOKUP($B262,'Standards Crosswalk'!$A:$I,9,FALSE)</f>
        <v>12.8</v>
      </c>
    </row>
    <row r="263" spans="1:25" ht="76" thickBot="1" x14ac:dyDescent="0.2">
      <c r="A263" s="71">
        <f t="shared" si="7"/>
        <v>261</v>
      </c>
      <c r="B263" s="125" t="s">
        <v>177</v>
      </c>
      <c r="C263" s="126" t="str">
        <f>VLOOKUP(B263,'HECVAT - Full'!A:E,2,FALSE)</f>
        <v>Describe how long your organization has conducted business in this product area.</v>
      </c>
      <c r="D263" s="124">
        <f>VLOOKUP(B263,'HECVAT - Full'!A:E,4,FALSE)</f>
        <v>0</v>
      </c>
      <c r="E263" s="127" t="b">
        <f>IF(Table1[[#This Row],[Column11]]&gt;20,TRUE,FALSE)</f>
        <v>0</v>
      </c>
      <c r="F263" s="128" t="s">
        <v>2555</v>
      </c>
      <c r="G263" s="129"/>
      <c r="H263" s="130">
        <v>1</v>
      </c>
      <c r="I263" s="124" t="str">
        <f>VLOOKUP(B263,'HECVAT - Full'!A:E,3,FALSE)</f>
        <v>Since Q3 2015</v>
      </c>
      <c r="J263" s="124">
        <f>IF(VLOOKUP(Table1[[#This Row],[Column2]],'Analyst Report'!$A$38:$G$88,7,FALSE)="Yes",1,0)</f>
        <v>0</v>
      </c>
      <c r="K263" s="124">
        <f>IF(Table1[[#This Row],[Column8]]=1,10,"")</f>
        <v>10</v>
      </c>
      <c r="L263" s="71">
        <f>IF(Table1[[#This Row],[Column8]]=1,J263*K263,"")</f>
        <v>0</v>
      </c>
      <c r="M263" s="131">
        <f>VLOOKUP($B263,'Standards Crosswalk'!$A:$H,3,FALSE)</f>
        <v>0</v>
      </c>
      <c r="N263" s="131">
        <f>VLOOKUP($B263,'Standards Crosswalk'!$A:$H,4,FALSE)</f>
        <v>0</v>
      </c>
      <c r="O263" s="131">
        <f>VLOOKUP($B263,'Standards Crosswalk'!$A:$H,5,FALSE)</f>
        <v>0</v>
      </c>
      <c r="P263" s="131">
        <f>VLOOKUP($B263,'Standards Crosswalk'!$A:$H,6,FALSE)</f>
        <v>0</v>
      </c>
      <c r="Q263" s="131">
        <f>VLOOKUP($B263,'Standards Crosswalk'!$A:$H,7,FALSE)</f>
        <v>0</v>
      </c>
      <c r="R263" s="131">
        <f>VLOOKUP($B263,'Standards Crosswalk'!$A:$H,8,FALSE)</f>
        <v>0</v>
      </c>
      <c r="S263" s="131">
        <f>VLOOKUP($B263,'Standards Crosswalk'!$A:$I,9,FALSE)</f>
        <v>12.8</v>
      </c>
    </row>
    <row r="264" spans="1:25" ht="409.6" thickBot="1" x14ac:dyDescent="0.2">
      <c r="A264" s="71">
        <f t="shared" si="7"/>
        <v>262</v>
      </c>
      <c r="B264" s="125" t="s">
        <v>178</v>
      </c>
      <c r="C264" s="126" t="str">
        <f>VLOOKUP(B264,'HECVAT - Full'!A:E,2,FALSE)</f>
        <v>Do you have existing higher education customers?</v>
      </c>
      <c r="D264" s="124" t="str">
        <f>VLOOKUP(B264,'HECVAT - Full'!A:E,4,FALSE)</f>
        <v>We currently have over 60 higher education customers. References:
Boston University
Ernie Perez, 
Director, Educational Technology
ern@bu.edu
California State University, Northridge
Andrea Koosa
Instructional Technologist
andreea.kosa@csun.edu
Glendale Community College
Katie Datko
Instructional Designer
cdatko@glendale.edu</v>
      </c>
      <c r="E264" s="127" t="b">
        <f>IF(Table1[[#This Row],[Column11]]&gt;20,TRUE,FALSE)</f>
        <v>0</v>
      </c>
      <c r="F264" s="128" t="s">
        <v>2555</v>
      </c>
      <c r="G264" s="129" t="s">
        <v>16</v>
      </c>
      <c r="H264" s="130">
        <v>1</v>
      </c>
      <c r="I264" s="124" t="str">
        <f>VLOOKUP(B264,'HECVAT - Full'!A:E,3,FALSE)</f>
        <v>Yes</v>
      </c>
      <c r="J264" s="71">
        <f>IF(Table1[[#This Row],[Column7]]=Table1[[#This Row],[Column9]],1,0)</f>
        <v>1</v>
      </c>
      <c r="K264" s="124">
        <f>IF(Table1[[#This Row],[Column8]]=1,10,"")</f>
        <v>10</v>
      </c>
      <c r="L264" s="71">
        <f>IF(Table1[[#This Row],[Column8]]=1,J264*K264,"")</f>
        <v>10</v>
      </c>
      <c r="M264" s="131">
        <f>VLOOKUP($B264,'Standards Crosswalk'!$A:$H,3,FALSE)</f>
        <v>0</v>
      </c>
      <c r="N264" s="131">
        <f>VLOOKUP($B264,'Standards Crosswalk'!$A:$H,4,FALSE)</f>
        <v>0</v>
      </c>
      <c r="O264" s="131" t="str">
        <f>VLOOKUP($B264,'Standards Crosswalk'!$A:$H,5,FALSE)</f>
        <v>15.2.1</v>
      </c>
      <c r="P264" s="131">
        <f>VLOOKUP($B264,'Standards Crosswalk'!$A:$H,6,FALSE)</f>
        <v>0</v>
      </c>
      <c r="Q264" s="131">
        <f>VLOOKUP($B264,'Standards Crosswalk'!$A:$H,7,FALSE)</f>
        <v>0</v>
      </c>
      <c r="R264" s="131">
        <f>VLOOKUP($B264,'Standards Crosswalk'!$A:$H,8,FALSE)</f>
        <v>0</v>
      </c>
      <c r="S264" s="131">
        <f>VLOOKUP($B264,'Standards Crosswalk'!$A:$I,9,FALSE)</f>
        <v>12.8</v>
      </c>
    </row>
    <row r="265" spans="1:25" ht="31" thickBot="1" x14ac:dyDescent="0.2">
      <c r="A265" s="71">
        <f t="shared" si="7"/>
        <v>263</v>
      </c>
      <c r="B265" s="125" t="s">
        <v>179</v>
      </c>
      <c r="C265" s="126" t="str">
        <f>VLOOKUP(B265,'HECVAT - Full'!A:E,2,FALSE)</f>
        <v>Have you had a significant breach in the last 5 years?</v>
      </c>
      <c r="D265" s="124">
        <f>VLOOKUP(B265,'HECVAT - Full'!A:E,4,FALSE)</f>
        <v>0</v>
      </c>
      <c r="E265" s="127" t="b">
        <f>IF(Table1[[#This Row],[Column11]]&gt;20,TRUE,FALSE)</f>
        <v>1</v>
      </c>
      <c r="F265" s="128" t="s">
        <v>2555</v>
      </c>
      <c r="G265" s="129" t="s">
        <v>19</v>
      </c>
      <c r="H265" s="130">
        <v>1</v>
      </c>
      <c r="I265" s="124" t="str">
        <f>VLOOKUP(B265,'HECVAT - Full'!A:E,3,FALSE)</f>
        <v>No</v>
      </c>
      <c r="J265" s="71">
        <f>IF(Table1[[#This Row],[Column7]]=Table1[[#This Row],[Column9]],1,0)</f>
        <v>1</v>
      </c>
      <c r="K265" s="124">
        <f>IF(Table1[[#This Row],[Column8]]=1,25,"")</f>
        <v>25</v>
      </c>
      <c r="L265" s="71">
        <f>IF(Table1[[#This Row],[Column8]]=1,J265*K265,"")</f>
        <v>25</v>
      </c>
      <c r="M265" s="131">
        <f>VLOOKUP($B265,'Standards Crosswalk'!$A:$H,3,FALSE)</f>
        <v>0</v>
      </c>
      <c r="N265" s="131">
        <f>VLOOKUP($B265,'Standards Crosswalk'!$A:$H,4,FALSE)</f>
        <v>0</v>
      </c>
      <c r="O265" s="131">
        <f>VLOOKUP($B265,'Standards Crosswalk'!$A:$H,5,FALSE)</f>
        <v>0</v>
      </c>
      <c r="P265" s="131">
        <f>VLOOKUP($B265,'Standards Crosswalk'!$A:$H,6,FALSE)</f>
        <v>0</v>
      </c>
      <c r="Q265" s="131">
        <f>VLOOKUP($B265,'Standards Crosswalk'!$A:$H,7,FALSE)</f>
        <v>0</v>
      </c>
      <c r="R265" s="131">
        <f>VLOOKUP($B265,'Standards Crosswalk'!$A:$H,8,FALSE)</f>
        <v>0</v>
      </c>
      <c r="S265" s="131">
        <f>VLOOKUP($B265,'Standards Crosswalk'!$A:$I,9,FALSE)</f>
        <v>0</v>
      </c>
    </row>
    <row r="266" spans="1:25" ht="409.6" thickBot="1" x14ac:dyDescent="0.2">
      <c r="A266" s="71">
        <f t="shared" si="7"/>
        <v>264</v>
      </c>
      <c r="B266" s="125" t="s">
        <v>180</v>
      </c>
      <c r="C266" s="126" t="str">
        <f>VLOOKUP(B266,'HECVAT - Full'!A:E,2,FALSE)</f>
        <v>Do you have a dedicated Information Security staff or office?</v>
      </c>
      <c r="D266" s="124" t="str">
        <f>VLOOKUP(B266,'HECVAT - Full'!A:E,4,FALSE)</f>
        <v>Though we do not currently have a dedicated InfoSec staff at the present time, members of our engineering team have extensive experience in data privacy, security, and compliance and InfoSec is a constant high priority in the company. We do have plans to form a dedicated team in the future.</v>
      </c>
      <c r="E266" s="127" t="b">
        <f>IF(Table1[[#This Row],[Column11]]&gt;20,TRUE,FALSE)</f>
        <v>1</v>
      </c>
      <c r="F266" s="128" t="s">
        <v>2555</v>
      </c>
      <c r="G266" s="129" t="s">
        <v>16</v>
      </c>
      <c r="H266" s="130">
        <v>1</v>
      </c>
      <c r="I266" s="124" t="str">
        <f>VLOOKUP(B266,'HECVAT - Full'!A:E,3,FALSE)</f>
        <v>No</v>
      </c>
      <c r="J266" s="71">
        <f>IF(Table1[[#This Row],[Column7]]=Table1[[#This Row],[Column9]],1,0)</f>
        <v>0</v>
      </c>
      <c r="K266" s="124">
        <f>IF(Table1[[#This Row],[Column8]]=1,25,"")</f>
        <v>25</v>
      </c>
      <c r="L266" s="71">
        <f>IF(Table1[[#This Row],[Column8]]=1,J266*K266,"")</f>
        <v>0</v>
      </c>
      <c r="M266" s="131">
        <f>VLOOKUP($B266,'Standards Crosswalk'!$A:$H,3,FALSE)</f>
        <v>0</v>
      </c>
      <c r="N266" s="131">
        <f>VLOOKUP($B266,'Standards Crosswalk'!$A:$H,4,FALSE)</f>
        <v>0</v>
      </c>
      <c r="O266" s="131" t="str">
        <f>VLOOKUP($B266,'Standards Crosswalk'!$A:$H,5,FALSE)</f>
        <v>15.2.1</v>
      </c>
      <c r="P266" s="131">
        <f>VLOOKUP($B266,'Standards Crosswalk'!$A:$H,6,FALSE)</f>
        <v>0</v>
      </c>
      <c r="Q266" s="131">
        <f>VLOOKUP($B266,'Standards Crosswalk'!$A:$H,7,FALSE)</f>
        <v>0</v>
      </c>
      <c r="R266" s="131">
        <f>VLOOKUP($B266,'Standards Crosswalk'!$A:$H,8,FALSE)</f>
        <v>0</v>
      </c>
      <c r="S266" s="131" t="str">
        <f>VLOOKUP($B266,'Standards Crosswalk'!$A:$I,9,FALSE)</f>
        <v>12.8, 12.5</v>
      </c>
    </row>
    <row r="267" spans="1:25" ht="409.6" thickBot="1" x14ac:dyDescent="0.2">
      <c r="A267" s="71">
        <f t="shared" si="7"/>
        <v>265</v>
      </c>
      <c r="B267" s="125" t="s">
        <v>181</v>
      </c>
      <c r="C267" s="126" t="str">
        <f>VLOOKUP(B267,'HECVAT - Full'!A:E,2,FALSE)</f>
        <v>Do you have a dedicated Software and System Development team(s)? (e.g. Customer Support, Implementation, Product Management, etc.)</v>
      </c>
      <c r="D267" s="124" t="str">
        <f>VLOOKUP(B267,'HECVAT - Full'!A:E,4,FALSE)</f>
        <v>Customer Support staff rolls up to the Chief Executive Officer and consists of six employees that handle technical implementation; customer support via live chat, phone, and email support; and ongoing training of customers on a monthly and/or quarterly basis. Product Development staff rolls up to the Chief Technology Officer and consists of eight engineers and two product designers.</v>
      </c>
      <c r="E267" s="127" t="b">
        <f>IF(Table1[[#This Row],[Column11]]&gt;20,TRUE,FALSE)</f>
        <v>0</v>
      </c>
      <c r="F267" s="128" t="s">
        <v>2555</v>
      </c>
      <c r="G267" s="129" t="s">
        <v>16</v>
      </c>
      <c r="H267" s="130">
        <v>1</v>
      </c>
      <c r="I267" s="124" t="str">
        <f>VLOOKUP(B267,'HECVAT - Full'!A:E,3,FALSE)</f>
        <v>Yes</v>
      </c>
      <c r="J267" s="124">
        <f>IF(Table1[[#This Row],[Column7]]=Table1[[#This Row],[Column9]],1,0)</f>
        <v>1</v>
      </c>
      <c r="K267" s="124">
        <f>IF(Table1[[#This Row],[Column8]]=1,15,"")</f>
        <v>15</v>
      </c>
      <c r="L267" s="71">
        <f>IF(Table1[[#This Row],[Column8]]=1,J267*K267,"")</f>
        <v>15</v>
      </c>
      <c r="M267" s="131">
        <f>VLOOKUP($B267,'Standards Crosswalk'!$A:$H,3,FALSE)</f>
        <v>0</v>
      </c>
      <c r="N267" s="131">
        <f>VLOOKUP($B267,'Standards Crosswalk'!$A:$H,4,FALSE)</f>
        <v>0</v>
      </c>
      <c r="O267" s="131" t="str">
        <f>VLOOKUP($B267,'Standards Crosswalk'!$A:$H,5,FALSE)</f>
        <v>14.2.1</v>
      </c>
      <c r="P267" s="131">
        <f>VLOOKUP($B267,'Standards Crosswalk'!$A:$H,6,FALSE)</f>
        <v>0</v>
      </c>
      <c r="Q267" s="131">
        <f>VLOOKUP($B267,'Standards Crosswalk'!$A:$H,7,FALSE)</f>
        <v>0</v>
      </c>
      <c r="R267" s="131" t="str">
        <f>VLOOKUP($B267,'Standards Crosswalk'!$A:$H,8,FALSE)</f>
        <v xml:space="preserve">SA-3, SA-15, SC-2, PM-2, PM-10, SI-5,PM-3 </v>
      </c>
      <c r="S267" s="131">
        <f>VLOOKUP($B267,'Standards Crosswalk'!$A:$I,9,FALSE)</f>
        <v>12.8</v>
      </c>
    </row>
    <row r="268" spans="1:25" ht="409.6" x14ac:dyDescent="0.15">
      <c r="A268" s="71">
        <f t="shared" si="7"/>
        <v>266</v>
      </c>
      <c r="B268" s="125" t="s">
        <v>429</v>
      </c>
      <c r="C268" s="126" t="str">
        <f>VLOOKUP(B268,'HECVAT - Full'!A:E,2,FALSE)</f>
        <v>Use this area to share information about your environment that will assist those who are assessing your company data security program.</v>
      </c>
      <c r="D268" s="124">
        <f>VLOOKUP(B268,'HECVAT - Full'!A:E,4,FALSE)</f>
        <v>0</v>
      </c>
      <c r="E268" s="127" t="b">
        <f>IF(Table1[[#This Row],[Column11]]&gt;20,TRUE,FALSE)</f>
        <v>1</v>
      </c>
      <c r="F268" s="128" t="s">
        <v>2555</v>
      </c>
      <c r="G268" s="129"/>
      <c r="H268" s="130">
        <v>1</v>
      </c>
      <c r="I268" s="124" t="str">
        <f>VLOOKUP(B268,'HECVAT - Full'!A:E,3,FALSE)</f>
        <v>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v>
      </c>
      <c r="J268" s="124">
        <f>IF(VLOOKUP(Table1[[#This Row],[Column2]],'Analyst Report'!$A$38:$G$88,7,FALSE)="Yes",1,0)</f>
        <v>0</v>
      </c>
      <c r="K268" s="124">
        <f>IF(Table1[[#This Row],[Column8]]=1,25,"")</f>
        <v>25</v>
      </c>
      <c r="L268" s="71">
        <f>IF(Table1[[#This Row],[Column8]]=1,J268*K268,"")</f>
        <v>0</v>
      </c>
      <c r="M268" s="131">
        <f>VLOOKUP($B268,'Standards Crosswalk'!$A:$H,3,FALSE)</f>
        <v>0</v>
      </c>
      <c r="N268" s="131">
        <f>VLOOKUP($B268,'Standards Crosswalk'!$A:$H,4,FALSE)</f>
        <v>0</v>
      </c>
      <c r="O268" s="131" t="str">
        <f>VLOOKUP($B268,'Standards Crosswalk'!$A:$H,5,FALSE)</f>
        <v>15.2.1</v>
      </c>
      <c r="P268" s="131">
        <f>VLOOKUP($B268,'Standards Crosswalk'!$A:$H,6,FALSE)</f>
        <v>0</v>
      </c>
      <c r="Q268" s="131">
        <f>VLOOKUP($B268,'Standards Crosswalk'!$A:$H,7,FALSE)</f>
        <v>0</v>
      </c>
      <c r="R268" s="131">
        <f>VLOOKUP($B268,'Standards Crosswalk'!$A:$H,8,FALSE)</f>
        <v>0</v>
      </c>
      <c r="S268" s="131">
        <f>VLOOKUP($B268,'Standards Crosswalk'!$A:$I,9,FALSE)</f>
        <v>12.8</v>
      </c>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 T a b l e 1 < / C u s t o m C o n t e n t > < / G e m i n i > 
</file>

<file path=customXml/item10.xml>��< ? x m l   v e r s i o n = " 1 . 0 "   e n c o d i n g = " U T F - 1 6 " ? > < G e m i n i   x m l n s = " h t t p : / / g e m i n i / p i v o t c u s t o m i z a t i o n / P o w e r P i v o t V e r s i o n " > < C u s t o m C o n t e n t > < ! [ C D A T A [ 1 1 . 0 . 9 1 6 6 . 1 8 8 ] ] > < / C u s t o m C o n t e n t > < / G e m i n i > 
</file>

<file path=customXml/item11.xml>��< ? x m l   v e r s i o n = " 1 . 0 "   e n c o d i n g = " U T F - 1 6 " ? > < G e m i n i   x m l n s = " h t t p : / / g e m i n i / p i v o t c u s t o m i z a t i o n / T a b l e C o u n t I n S a n d b o x " > < C u s t o m C o n t e n t > < ! [ C D A T A [ 1 ] ] > < / 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4.xml>��< ? x m l   v e r s i o n = " 1 . 0 "   e n c o d i n g = " U T F - 1 6 " ? > < G e m i n i   x m l n s = " h t t p : / / g e m i n i / p i v o t c u s t o m i z a t i o n / S a n d b o x N o n E m p t y " > < C u s t o m C o n t e n t > < ! [ C D A T A [ 1 ] ] > < / 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16.xml>��< ? x m l   v e r s i o n = " 1 . 0 "   e n c o d i n g = " U T F - 1 6 " ? > < G e m i n i   x m l n s = " h t t p : / / g e m i n i / p i v o t c u s t o m i z a t i o n / I s S a n d b o x E m b e d d e d " > < C u s t o m C o n t e n t > < ! [ C D A T A [ y e s ] ] > < / C u s t o m C o n t e n t > < / G e m i n i > 
</file>

<file path=customXml/item17.xml>��< ? x m l   v e r s i o n = " 1 . 0 "   e n c o d i n g = " U T F - 1 6 " ? > < G e m i n i   x m l n s = " h t t p : / / g e m i n i / p i v o t c u s t o m i z a t i o n / S h o w H i d d e n " > < C u s t o m C o n t e n t > < ! [ C D A T A [ T r u e ] ] > < / C u s t o m C o n t e n t > < / G e m i n i > 
</file>

<file path=customXml/item18.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M a n u a l C a l c M o d e " > < C u s t o m C o n t e n t > < ! [ C D A T A [ F a l s e ] ] > < / 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9.xml>��< ? x m l   v e r s i o n = " 1 . 0 "   e n c o d i n g = " U T F - 1 6 " ? > < G e m i n i   x m l n s = " h t t p : / / g e m i n i / p i v o t c u s t o m i z a t i o n / C l i e n t W i n d o w X M L " > < C u s t o m C o n t e n t > < ! [ C D A T A [ T a b l e 1 ] ] > < / C u s t o m C o n t e n t > < / G e m i n i > 
</file>

<file path=customXml/itemProps1.xml><?xml version="1.0" encoding="utf-8"?>
<ds:datastoreItem xmlns:ds="http://schemas.openxmlformats.org/officeDocument/2006/customXml" ds:itemID="{9E2D3966-F91F-49BB-ACE1-431B53104A6E}">
  <ds:schemaRefs>
    <ds:schemaRef ds:uri="http://gemini/pivotcustomization/TableOrder"/>
  </ds:schemaRefs>
</ds:datastoreItem>
</file>

<file path=customXml/itemProps10.xml><?xml version="1.0" encoding="utf-8"?>
<ds:datastoreItem xmlns:ds="http://schemas.openxmlformats.org/officeDocument/2006/customXml" ds:itemID="{6F56B467-C743-420E-89ED-6745F6A4B70B}">
  <ds:schemaRefs/>
</ds:datastoreItem>
</file>

<file path=customXml/itemProps11.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12.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13.xml><?xml version="1.0" encoding="utf-8"?>
<ds:datastoreItem xmlns:ds="http://schemas.openxmlformats.org/officeDocument/2006/customXml" ds:itemID="{5E408239-B2E4-4FD9-8B1C-020866B82B72}">
  <ds:schemaRefs/>
</ds:datastoreItem>
</file>

<file path=customXml/itemProps14.xml><?xml version="1.0" encoding="utf-8"?>
<ds:datastoreItem xmlns:ds="http://schemas.openxmlformats.org/officeDocument/2006/customXml" ds:itemID="{BB33A5B0-9B30-4EC1-B196-AA0C08779EB0}">
  <ds:schemaRefs/>
</ds:datastoreItem>
</file>

<file path=customXml/itemProps15.xml><?xml version="1.0" encoding="utf-8"?>
<ds:datastoreItem xmlns:ds="http://schemas.openxmlformats.org/officeDocument/2006/customXml" ds:itemID="{AF6C041D-C5EF-48EF-8803-B23DAFDDB1AE}">
  <ds:schemaRefs>
    <ds:schemaRef ds:uri="http://gemini/pivotcustomization/Diagrams"/>
  </ds:schemaRefs>
</ds:datastoreItem>
</file>

<file path=customXml/itemProps16.xml><?xml version="1.0" encoding="utf-8"?>
<ds:datastoreItem xmlns:ds="http://schemas.openxmlformats.org/officeDocument/2006/customXml" ds:itemID="{A21A3BC1-6951-472B-A2EE-CCC2B7A3EA6B}">
  <ds:schemaRefs/>
</ds:datastoreItem>
</file>

<file path=customXml/itemProps17.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18.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3.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4.xml><?xml version="1.0" encoding="utf-8"?>
<ds:datastoreItem xmlns:ds="http://schemas.openxmlformats.org/officeDocument/2006/customXml" ds:itemID="{4EFEA8F8-79F4-471A-AA5A-5624A6C1632E}">
  <ds:schemaRefs/>
</ds:datastoreItem>
</file>

<file path=customXml/itemProps5.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6.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7.xml><?xml version="1.0" encoding="utf-8"?>
<ds:datastoreItem xmlns:ds="http://schemas.openxmlformats.org/officeDocument/2006/customXml" ds:itemID="{C320B382-AAED-4159-A304-00FF657D7954}">
  <ds:schemaRefs/>
</ds:datastoreItem>
</file>

<file path=customXml/itemProps8.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9.xml><?xml version="1.0" encoding="utf-8"?>
<ds:datastoreItem xmlns:ds="http://schemas.openxmlformats.org/officeDocument/2006/customXml" ds:itemID="{F5A3C41F-8B32-40FA-A81E-C73F1904B030}">
  <ds:schemaRefs>
    <ds:schemaRef ds:uri="http://gemini/pivotcustomization/ClientWindowXML"/>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Ben Dolman</cp:lastModifiedBy>
  <cp:revision/>
  <dcterms:created xsi:type="dcterms:W3CDTF">2015-03-06T14:56:12Z</dcterms:created>
  <dcterms:modified xsi:type="dcterms:W3CDTF">2021-01-12T23:19:13Z</dcterms:modified>
</cp:coreProperties>
</file>